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840" yWindow="240" windowWidth="13500" windowHeight="9135" tabRatio="908" activeTab="1"/>
  </bookViews>
  <sheets>
    <sheet name="Kalend" sheetId="2" r:id="rId1"/>
    <sheet name="Kal E" sheetId="3" r:id="rId2"/>
    <sheet name="Reit" sheetId="80" r:id="rId3"/>
    <sheet name="A" sheetId="49" r:id="rId4"/>
    <sheet name="1" sheetId="50" r:id="rId5"/>
    <sheet name="2" sheetId="51" r:id="rId6"/>
    <sheet name="3" sheetId="52" r:id="rId7"/>
    <sheet name="KJ" sheetId="9" r:id="rId8"/>
    <sheet name="4" sheetId="53" r:id="rId9"/>
    <sheet name="5" sheetId="76" r:id="rId10"/>
    <sheet name="Mu" sheetId="54" r:id="rId11"/>
    <sheet name="6" sheetId="56" r:id="rId12"/>
    <sheet name="7" sheetId="57" r:id="rId13"/>
    <sheet name="8" sheetId="58" r:id="rId14"/>
    <sheet name="9" sheetId="59" r:id="rId15"/>
    <sheet name="10" sheetId="60" r:id="rId16"/>
    <sheet name="11" sheetId="61" r:id="rId17"/>
    <sheet name="12" sheetId="81" r:id="rId18"/>
    <sheet name="13" sheetId="63" r:id="rId19"/>
    <sheet name="L" sheetId="21" r:id="rId20"/>
    <sheet name="M" sheetId="29" r:id="rId21"/>
    <sheet name="M1" sheetId="30" r:id="rId22"/>
    <sheet name="M2" sheetId="31" r:id="rId23"/>
    <sheet name="M3" sheetId="32" r:id="rId24"/>
    <sheet name="M4" sheetId="33" r:id="rId25"/>
    <sheet name="M5" sheetId="34" r:id="rId26"/>
    <sheet name="V" sheetId="64" r:id="rId27"/>
    <sheet name="V1" sheetId="65" r:id="rId28"/>
    <sheet name="V2" sheetId="75" r:id="rId29"/>
    <sheet name="V3" sheetId="67" r:id="rId30"/>
    <sheet name="V4" sheetId="68" r:id="rId31"/>
    <sheet name="V5" sheetId="69" r:id="rId32"/>
    <sheet name="V6" sheetId="70" r:id="rId33"/>
    <sheet name="V7" sheetId="71" r:id="rId34"/>
    <sheet name="V8" sheetId="72" r:id="rId35"/>
    <sheet name="V9" sheetId="73" r:id="rId36"/>
    <sheet name="V10" sheetId="74" r:id="rId37"/>
    <sheet name="V-Fin" sheetId="85" r:id="rId38"/>
    <sheet name="V-Pl" sheetId="83" r:id="rId39"/>
  </sheets>
  <definedNames>
    <definedName name="_xlnm._FilterDatabase" localSheetId="0" hidden="1">Kalend!$A$3:$H$45</definedName>
    <definedName name="_xlnm._FilterDatabase" localSheetId="7" hidden="1">KJ!$M$6:$O$6</definedName>
    <definedName name="_xlnm._FilterDatabase" localSheetId="20" hidden="1">M!$R$6:$T$6</definedName>
    <definedName name="_xlnm._FilterDatabase" localSheetId="2" hidden="1">Reit!$W$7:$AB$57</definedName>
    <definedName name="_xlnm._FilterDatabase" localSheetId="26" hidden="1">V!$P$7:$R$7</definedName>
    <definedName name="Nimed" localSheetId="17">#REF!</definedName>
    <definedName name="Nimed">#REF!</definedName>
    <definedName name="_xlnm.Print_Area" localSheetId="10">Mu!$A$1:$K$221</definedName>
    <definedName name="_xlnm.Print_Area" localSheetId="37">'V-Fin'!$A$1:$N$145</definedName>
    <definedName name="_xlnm.Print_Area" localSheetId="38">'V-Pl'!$A$1:$Y$51</definedName>
    <definedName name="_xlnm.Print_Titles" localSheetId="4">'1'!$1:$2</definedName>
    <definedName name="_xlnm.Print_Titles" localSheetId="15">'10'!$1:$2</definedName>
    <definedName name="_xlnm.Print_Titles" localSheetId="16">'11'!$1:$2</definedName>
    <definedName name="_xlnm.Print_Titles" localSheetId="17">'12'!$1:$2</definedName>
    <definedName name="_xlnm.Print_Titles" localSheetId="18">'13'!$1:$2</definedName>
    <definedName name="_xlnm.Print_Titles" localSheetId="5">'2'!$1:$2</definedName>
    <definedName name="_xlnm.Print_Titles" localSheetId="6">'3'!$1:$2</definedName>
    <definedName name="_xlnm.Print_Titles" localSheetId="8">'4'!$1:$2</definedName>
    <definedName name="_xlnm.Print_Titles" localSheetId="9">'5'!$1:$2</definedName>
    <definedName name="_xlnm.Print_Titles" localSheetId="11">'6'!$1:$2</definedName>
    <definedName name="_xlnm.Print_Titles" localSheetId="12">'7'!$1:$2</definedName>
    <definedName name="_xlnm.Print_Titles" localSheetId="13">'8'!$1:$2</definedName>
    <definedName name="_xlnm.Print_Titles" localSheetId="14">'9'!$1:$2</definedName>
    <definedName name="_xlnm.Print_Titles" localSheetId="3">A!$1:$2</definedName>
    <definedName name="_xlnm.Print_Titles" localSheetId="1">'Kal E'!$1:$3</definedName>
    <definedName name="_xlnm.Print_Titles" localSheetId="7">KJ!$1:$3</definedName>
    <definedName name="_xlnm.Print_Titles" localSheetId="19">L!$1:$2</definedName>
    <definedName name="_xlnm.Print_Titles" localSheetId="20">M!$1:$3</definedName>
    <definedName name="_xlnm.Print_Titles" localSheetId="21">'M1'!$1:$2</definedName>
    <definedName name="_xlnm.Print_Titles" localSheetId="22">'M2'!$1:$2</definedName>
    <definedName name="_xlnm.Print_Titles" localSheetId="23">'M3'!$1:$2</definedName>
    <definedName name="_xlnm.Print_Titles" localSheetId="24">'M4'!$1:$2</definedName>
    <definedName name="_xlnm.Print_Titles" localSheetId="25">'M5'!$1:$2</definedName>
    <definedName name="_xlnm.Print_Titles" localSheetId="10">Mu!$1:$2</definedName>
    <definedName name="_xlnm.Print_Titles" localSheetId="2">Reit!$1:$3</definedName>
    <definedName name="_xlnm.Print_Titles" localSheetId="26">V!$1:$3</definedName>
    <definedName name="_xlnm.Print_Titles" localSheetId="27">'V1'!$1:$2</definedName>
    <definedName name="_xlnm.Print_Titles" localSheetId="36">'V10'!$1:$2</definedName>
    <definedName name="_xlnm.Print_Titles" localSheetId="28">'V2'!$1:$2</definedName>
    <definedName name="_xlnm.Print_Titles" localSheetId="29">'V3'!$1:$2</definedName>
    <definedName name="_xlnm.Print_Titles" localSheetId="30">'V4'!$1:$2</definedName>
    <definedName name="_xlnm.Print_Titles" localSheetId="31">'V5'!$1:$2</definedName>
    <definedName name="_xlnm.Print_Titles" localSheetId="32">'V6'!$1:$2</definedName>
    <definedName name="_xlnm.Print_Titles" localSheetId="33">'V7'!$1:$2</definedName>
    <definedName name="_xlnm.Print_Titles" localSheetId="34">'V8'!$1:$2</definedName>
    <definedName name="_xlnm.Print_Titles" localSheetId="35">'V9'!$1:$2</definedName>
    <definedName name="_xlnm.Print_Titles" localSheetId="37">'V-Fin'!$1:$2</definedName>
    <definedName name="_xlnm.Print_Titles" localSheetId="38">'V-Pl'!$1:$2</definedName>
  </definedNames>
  <calcPr calcId="145621"/>
  <webPublishing vml="1" allowPng="1" targetScreenSize="1024x768" codePage="1257"/>
</workbook>
</file>

<file path=xl/calcChain.xml><?xml version="1.0" encoding="utf-8"?>
<calcChain xmlns="http://schemas.openxmlformats.org/spreadsheetml/2006/main">
  <c r="H9" i="80" l="1"/>
  <c r="H10" i="80"/>
  <c r="H11" i="80"/>
  <c r="H12" i="80"/>
  <c r="H13" i="80"/>
  <c r="H14" i="80"/>
  <c r="H15" i="80"/>
  <c r="H16" i="80"/>
  <c r="H17" i="80"/>
  <c r="H18" i="80"/>
  <c r="H19" i="80"/>
  <c r="H20" i="80"/>
  <c r="H21" i="80"/>
  <c r="H22" i="80"/>
  <c r="H23" i="80"/>
  <c r="H24" i="80"/>
  <c r="H25" i="80"/>
  <c r="H26" i="80"/>
  <c r="H27" i="80"/>
  <c r="H28" i="80"/>
  <c r="H29" i="80"/>
  <c r="H30" i="80"/>
  <c r="H31" i="80"/>
  <c r="H32" i="80"/>
  <c r="H33" i="80"/>
  <c r="H34" i="80"/>
  <c r="H35" i="80"/>
  <c r="H36" i="80"/>
  <c r="H37" i="80"/>
  <c r="H38" i="80"/>
  <c r="H39" i="80"/>
  <c r="H40" i="80"/>
  <c r="H41" i="80"/>
  <c r="H42" i="80"/>
  <c r="H43" i="80"/>
  <c r="H44" i="80"/>
  <c r="H45" i="80"/>
  <c r="H46" i="80"/>
  <c r="H47" i="80"/>
  <c r="H48" i="80"/>
  <c r="H49" i="80"/>
  <c r="H50" i="80"/>
  <c r="H51" i="80"/>
  <c r="H52" i="80"/>
  <c r="H53" i="80"/>
  <c r="H54" i="80"/>
  <c r="H55" i="80"/>
  <c r="H56" i="80"/>
  <c r="H57" i="80"/>
  <c r="H8" i="80"/>
  <c r="I8" i="29" l="1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7" i="29"/>
  <c r="M59" i="3" l="1"/>
  <c r="N99" i="3" l="1"/>
  <c r="L99" i="3"/>
  <c r="I98" i="3"/>
  <c r="I99" i="3"/>
  <c r="G110" i="3"/>
  <c r="G108" i="3"/>
  <c r="N109" i="3"/>
  <c r="N110" i="3"/>
  <c r="C107" i="3"/>
  <c r="K22" i="3" l="1"/>
  <c r="K96" i="3" l="1"/>
  <c r="K78" i="3"/>
  <c r="K14" i="3" l="1"/>
  <c r="M6" i="3"/>
  <c r="M57" i="3" l="1"/>
  <c r="K57" i="3"/>
  <c r="M51" i="3"/>
  <c r="K51" i="3"/>
  <c r="K66" i="3"/>
  <c r="M54" i="3"/>
  <c r="K48" i="3"/>
  <c r="K33" i="3"/>
  <c r="O5" i="64" l="1"/>
  <c r="L6" i="64"/>
  <c r="K6" i="64"/>
  <c r="J6" i="64"/>
  <c r="I6" i="64"/>
  <c r="H6" i="64"/>
  <c r="G6" i="64"/>
  <c r="F6" i="64"/>
  <c r="E6" i="64"/>
  <c r="D6" i="64"/>
  <c r="O6" i="64"/>
  <c r="E31" i="2" l="1"/>
  <c r="E30" i="2"/>
  <c r="M92" i="3" l="1"/>
  <c r="M94" i="3"/>
  <c r="E44" i="2"/>
  <c r="E43" i="2"/>
  <c r="G66" i="3" l="1"/>
  <c r="G74" i="3"/>
  <c r="C74" i="3"/>
  <c r="C48" i="3"/>
  <c r="C33" i="3"/>
  <c r="C17" i="3"/>
  <c r="E24" i="3"/>
  <c r="E20" i="3"/>
  <c r="E8" i="3"/>
  <c r="E90" i="3"/>
  <c r="E83" i="3"/>
  <c r="E71" i="3"/>
  <c r="E65" i="3"/>
  <c r="E56" i="3"/>
  <c r="E50" i="3"/>
  <c r="E40" i="3"/>
  <c r="E26" i="3"/>
  <c r="E22" i="3"/>
  <c r="E10" i="3"/>
  <c r="Q5" i="29" l="1"/>
  <c r="P5" i="29"/>
  <c r="O5" i="29"/>
  <c r="N5" i="29"/>
  <c r="M5" i="29"/>
  <c r="M6" i="64"/>
  <c r="P1" i="21"/>
  <c r="M1" i="21"/>
  <c r="Q1" i="83"/>
  <c r="N1" i="83"/>
  <c r="I1" i="85"/>
  <c r="G1" i="85"/>
  <c r="F1" i="74"/>
  <c r="D1" i="74"/>
  <c r="F1" i="73"/>
  <c r="D1" i="73"/>
  <c r="F1" i="72"/>
  <c r="D1" i="72"/>
  <c r="F1" i="71"/>
  <c r="D1" i="71"/>
  <c r="F1" i="70"/>
  <c r="D1" i="70"/>
  <c r="F1" i="69"/>
  <c r="D1" i="69"/>
  <c r="F1" i="68"/>
  <c r="D1" i="68"/>
  <c r="F1" i="67"/>
  <c r="D1" i="67"/>
  <c r="F1" i="75"/>
  <c r="D1" i="75"/>
  <c r="F1" i="65"/>
  <c r="D1" i="65"/>
  <c r="I1" i="34"/>
  <c r="G1" i="34"/>
  <c r="G1" i="33"/>
  <c r="E1" i="33"/>
  <c r="H1" i="32"/>
  <c r="F1" i="32"/>
  <c r="G1" i="31"/>
  <c r="E1" i="31"/>
  <c r="H1" i="30"/>
  <c r="F1" i="30"/>
  <c r="J1" i="63"/>
  <c r="H1" i="63"/>
  <c r="S1" i="81"/>
  <c r="N1" i="81"/>
  <c r="I1" i="61"/>
  <c r="G1" i="61"/>
  <c r="I1" i="60"/>
  <c r="G1" i="60"/>
  <c r="G1" i="59"/>
  <c r="E1" i="59"/>
  <c r="K1" i="58"/>
  <c r="I1" i="58"/>
  <c r="G1" i="57"/>
  <c r="E1" i="57"/>
  <c r="H1" i="56"/>
  <c r="F1" i="56"/>
  <c r="H1" i="54"/>
  <c r="F1" i="54"/>
  <c r="G1" i="53"/>
  <c r="E1" i="53"/>
  <c r="J1" i="52"/>
  <c r="H1" i="52"/>
  <c r="H1" i="51"/>
  <c r="F1" i="51"/>
  <c r="E1" i="50"/>
  <c r="C1" i="50"/>
  <c r="I1" i="49"/>
  <c r="J1" i="76"/>
  <c r="H1" i="76"/>
  <c r="G1" i="49"/>
  <c r="Q1" i="80"/>
  <c r="M100" i="3"/>
  <c r="K92" i="3"/>
  <c r="M88" i="3"/>
  <c r="M86" i="3"/>
  <c r="M81" i="3"/>
  <c r="G54" i="3"/>
  <c r="G48" i="3"/>
  <c r="G41" i="3"/>
  <c r="M27" i="3"/>
  <c r="G27" i="3"/>
  <c r="G20" i="3"/>
  <c r="M11" i="3"/>
  <c r="G8" i="3"/>
  <c r="M4" i="3"/>
  <c r="L5" i="9"/>
  <c r="K5" i="9"/>
  <c r="J5" i="9"/>
  <c r="R6" i="80"/>
  <c r="Q6" i="80"/>
  <c r="P6" i="80"/>
  <c r="O6" i="80"/>
  <c r="N6" i="80"/>
  <c r="M6" i="80"/>
  <c r="L6" i="80"/>
  <c r="K6" i="80"/>
  <c r="J6" i="80"/>
  <c r="V6" i="80"/>
  <c r="U6" i="80"/>
  <c r="T6" i="80"/>
  <c r="S6" i="80"/>
  <c r="E45" i="2"/>
  <c r="E42" i="2"/>
  <c r="E40" i="2"/>
  <c r="E39" i="2"/>
  <c r="E38" i="2"/>
  <c r="E37" i="2"/>
  <c r="E36" i="2"/>
  <c r="E34" i="2"/>
  <c r="E33" i="2"/>
  <c r="E32" i="2"/>
  <c r="E29" i="2"/>
  <c r="E28" i="2"/>
  <c r="E26" i="2"/>
  <c r="E25" i="2"/>
  <c r="E24" i="2"/>
  <c r="E23" i="2"/>
  <c r="E22" i="2"/>
  <c r="E21" i="2"/>
  <c r="E19" i="2"/>
  <c r="E18" i="2"/>
  <c r="E17" i="2"/>
  <c r="E16" i="2"/>
  <c r="E15" i="2"/>
  <c r="E14" i="2"/>
  <c r="E12" i="2"/>
  <c r="E11" i="2"/>
  <c r="E10" i="2"/>
  <c r="E8" i="2"/>
  <c r="E7" i="2"/>
  <c r="E6" i="2"/>
  <c r="E5" i="2"/>
  <c r="N114" i="3"/>
  <c r="L114" i="3"/>
  <c r="K114" i="3"/>
  <c r="L113" i="3"/>
  <c r="K112" i="3"/>
  <c r="K110" i="3"/>
  <c r="H107" i="3"/>
  <c r="L79" i="3"/>
  <c r="H106" i="3"/>
  <c r="E107" i="3"/>
  <c r="G112" i="3"/>
  <c r="G114" i="3"/>
  <c r="A26" i="83"/>
  <c r="I44" i="2" s="1"/>
  <c r="V8" i="83"/>
  <c r="V9" i="83"/>
  <c r="V10" i="83"/>
  <c r="V11" i="83"/>
  <c r="V12" i="83"/>
  <c r="V13" i="83"/>
  <c r="V14" i="83"/>
  <c r="V15" i="83"/>
  <c r="V16" i="83"/>
  <c r="V17" i="83"/>
  <c r="V18" i="83"/>
  <c r="V19" i="83"/>
  <c r="V20" i="83"/>
  <c r="V21" i="83"/>
  <c r="V22" i="83"/>
  <c r="V23" i="83"/>
  <c r="V24" i="83"/>
  <c r="V7" i="83"/>
  <c r="X19" i="83"/>
  <c r="Y19" i="83"/>
  <c r="X20" i="83"/>
  <c r="Y20" i="83"/>
  <c r="X21" i="83"/>
  <c r="Y21" i="83"/>
  <c r="X22" i="83"/>
  <c r="Y22" i="83"/>
  <c r="X23" i="83"/>
  <c r="Y23" i="83"/>
  <c r="X24" i="83"/>
  <c r="Y24" i="83"/>
  <c r="K94" i="3"/>
  <c r="F42" i="2"/>
  <c r="C29" i="29"/>
  <c r="N98" i="3"/>
  <c r="K117" i="3"/>
  <c r="L85" i="3"/>
  <c r="N85" i="3"/>
  <c r="H85" i="3"/>
  <c r="A4" i="85"/>
  <c r="A2" i="85"/>
  <c r="L119" i="3"/>
  <c r="N7" i="3"/>
  <c r="D29" i="29"/>
  <c r="E29" i="29"/>
  <c r="F29" i="29"/>
  <c r="B29" i="29"/>
  <c r="K8" i="29"/>
  <c r="K16" i="29"/>
  <c r="K7" i="29"/>
  <c r="K10" i="29"/>
  <c r="K17" i="29"/>
  <c r="K13" i="29"/>
  <c r="K11" i="29"/>
  <c r="K12" i="29"/>
  <c r="K14" i="29"/>
  <c r="K19" i="29"/>
  <c r="K20" i="29"/>
  <c r="K21" i="29"/>
  <c r="K18" i="29"/>
  <c r="K15" i="29"/>
  <c r="K24" i="29"/>
  <c r="K23" i="29"/>
  <c r="K22" i="29"/>
  <c r="K25" i="29"/>
  <c r="K26" i="29"/>
  <c r="K27" i="29"/>
  <c r="K28" i="29"/>
  <c r="K9" i="29"/>
  <c r="J8" i="29"/>
  <c r="J16" i="29"/>
  <c r="J7" i="29"/>
  <c r="J10" i="29"/>
  <c r="J17" i="29"/>
  <c r="J13" i="29"/>
  <c r="J11" i="29"/>
  <c r="J12" i="29"/>
  <c r="J14" i="29"/>
  <c r="J19" i="29"/>
  <c r="J20" i="29"/>
  <c r="J21" i="29"/>
  <c r="J18" i="29"/>
  <c r="J15" i="29"/>
  <c r="J24" i="29"/>
  <c r="J23" i="29"/>
  <c r="J22" i="29"/>
  <c r="J25" i="29"/>
  <c r="J26" i="29"/>
  <c r="J27" i="29"/>
  <c r="J28" i="29"/>
  <c r="J9" i="29"/>
  <c r="L10" i="3"/>
  <c r="I45" i="2"/>
  <c r="A4" i="83"/>
  <c r="A2" i="83"/>
  <c r="A1" i="83"/>
  <c r="Y18" i="83"/>
  <c r="X18" i="83"/>
  <c r="Y17" i="83"/>
  <c r="X17" i="83"/>
  <c r="Y16" i="83"/>
  <c r="X16" i="83"/>
  <c r="Y15" i="83"/>
  <c r="X15" i="83"/>
  <c r="Y14" i="83"/>
  <c r="X14" i="83"/>
  <c r="Y13" i="83"/>
  <c r="X13" i="83"/>
  <c r="Y12" i="83"/>
  <c r="X12" i="83"/>
  <c r="Y11" i="83"/>
  <c r="X11" i="83"/>
  <c r="Y10" i="83"/>
  <c r="X10" i="83"/>
  <c r="Y9" i="83"/>
  <c r="X9" i="83"/>
  <c r="Y8" i="83"/>
  <c r="X8" i="83"/>
  <c r="Y7" i="83"/>
  <c r="X7" i="83"/>
  <c r="O48" i="64"/>
  <c r="I43" i="2" s="1"/>
  <c r="J117" i="3"/>
  <c r="W45" i="81"/>
  <c r="W44" i="81"/>
  <c r="W42" i="81"/>
  <c r="W41" i="81"/>
  <c r="W39" i="81"/>
  <c r="W38" i="81"/>
  <c r="W37" i="81"/>
  <c r="W36" i="81"/>
  <c r="X38" i="81" s="1"/>
  <c r="W34" i="81"/>
  <c r="W33" i="81"/>
  <c r="W31" i="81"/>
  <c r="W30" i="81"/>
  <c r="Y31" i="81"/>
  <c r="W29" i="81"/>
  <c r="W28" i="81"/>
  <c r="Z28" i="81" s="1"/>
  <c r="W27" i="81"/>
  <c r="W26" i="81"/>
  <c r="AA26" i="81"/>
  <c r="W25" i="81"/>
  <c r="W24" i="81"/>
  <c r="Z24" i="81" s="1"/>
  <c r="Z30" i="81"/>
  <c r="A4" i="81"/>
  <c r="A2" i="81"/>
  <c r="X39" i="81"/>
  <c r="X36" i="81"/>
  <c r="Y29" i="81"/>
  <c r="Z26" i="81"/>
  <c r="Y25" i="81"/>
  <c r="W22" i="81"/>
  <c r="W21" i="81"/>
  <c r="W20" i="81"/>
  <c r="W19" i="81"/>
  <c r="W18" i="81"/>
  <c r="W17" i="81"/>
  <c r="W16" i="81"/>
  <c r="W15" i="81"/>
  <c r="W14" i="81"/>
  <c r="W13" i="81"/>
  <c r="W12" i="81"/>
  <c r="W11" i="81"/>
  <c r="W10" i="81"/>
  <c r="W9" i="81"/>
  <c r="X21" i="81"/>
  <c r="M83" i="3"/>
  <c r="G29" i="3"/>
  <c r="G43" i="3"/>
  <c r="N30" i="64"/>
  <c r="N47" i="64"/>
  <c r="L80" i="3"/>
  <c r="L117" i="3"/>
  <c r="K97" i="3"/>
  <c r="K72" i="3"/>
  <c r="N29" i="29"/>
  <c r="O29" i="29"/>
  <c r="P29" i="29"/>
  <c r="Q29" i="29"/>
  <c r="M29" i="29"/>
  <c r="L71" i="3"/>
  <c r="K80" i="3"/>
  <c r="V5" i="80"/>
  <c r="U5" i="80"/>
  <c r="T5" i="80"/>
  <c r="S5" i="80"/>
  <c r="R5" i="80"/>
  <c r="Q5" i="80"/>
  <c r="P5" i="80"/>
  <c r="O5" i="80"/>
  <c r="N5" i="80"/>
  <c r="M5" i="80"/>
  <c r="L5" i="80"/>
  <c r="K5" i="80"/>
  <c r="J5" i="80"/>
  <c r="V4" i="80"/>
  <c r="U4" i="80"/>
  <c r="S4" i="80"/>
  <c r="R4" i="80"/>
  <c r="Q4" i="80"/>
  <c r="P4" i="80"/>
  <c r="O4" i="80"/>
  <c r="L4" i="80"/>
  <c r="K4" i="80"/>
  <c r="J4" i="80"/>
  <c r="L21" i="3"/>
  <c r="K73" i="3"/>
  <c r="M76" i="3"/>
  <c r="L8" i="29" a="1"/>
  <c r="L8" i="29" s="1"/>
  <c r="L16" i="29" a="1"/>
  <c r="L16" i="29" s="1"/>
  <c r="L7" i="29" a="1"/>
  <c r="L7" i="29"/>
  <c r="L10" i="29" a="1"/>
  <c r="L10" i="29" s="1"/>
  <c r="L17" i="29" a="1"/>
  <c r="L17" i="29" s="1"/>
  <c r="L13" i="29" a="1"/>
  <c r="L13" i="29" s="1"/>
  <c r="L11" i="29" a="1"/>
  <c r="L11" i="29" s="1"/>
  <c r="L12" i="29" a="1"/>
  <c r="L12" i="29" s="1"/>
  <c r="L14" i="29" a="1"/>
  <c r="L14" i="29" s="1"/>
  <c r="L19" i="29" a="1"/>
  <c r="L19" i="29" s="1"/>
  <c r="L20" i="29" a="1"/>
  <c r="L20" i="29" s="1"/>
  <c r="L21" i="29" a="1"/>
  <c r="L21" i="29" s="1"/>
  <c r="L18" i="29" a="1"/>
  <c r="L18" i="29" s="1"/>
  <c r="L15" i="29" a="1"/>
  <c r="L15" i="29" s="1"/>
  <c r="L24" i="29" a="1"/>
  <c r="L24" i="29" s="1"/>
  <c r="L23" i="29" a="1"/>
  <c r="L23" i="29" s="1"/>
  <c r="L22" i="29" a="1"/>
  <c r="L22" i="29" s="1"/>
  <c r="L25" i="29" a="1"/>
  <c r="L25" i="29" s="1"/>
  <c r="L26" i="29" a="1"/>
  <c r="L26" i="29" s="1"/>
  <c r="L27" i="29" a="1"/>
  <c r="L27" i="29" s="1"/>
  <c r="L28" i="29" a="1"/>
  <c r="L28" i="29" s="1"/>
  <c r="L9" i="29" a="1"/>
  <c r="L9" i="29" s="1"/>
  <c r="K76" i="3"/>
  <c r="M69" i="3"/>
  <c r="K69" i="3"/>
  <c r="Z11" i="80"/>
  <c r="AA11" i="80"/>
  <c r="AB11" i="80"/>
  <c r="Z9" i="80"/>
  <c r="AA9" i="80"/>
  <c r="AB9" i="80"/>
  <c r="Z10" i="80"/>
  <c r="AA10" i="80"/>
  <c r="AB10" i="80"/>
  <c r="Z13" i="80"/>
  <c r="AA13" i="80"/>
  <c r="AB13" i="80"/>
  <c r="Z12" i="80"/>
  <c r="AA12" i="80"/>
  <c r="AB12" i="80"/>
  <c r="Z15" i="80"/>
  <c r="AA15" i="80"/>
  <c r="AB15" i="80"/>
  <c r="Z18" i="80"/>
  <c r="AA18" i="80"/>
  <c r="AB18" i="80"/>
  <c r="Z14" i="80"/>
  <c r="AA14" i="80"/>
  <c r="AB14" i="80"/>
  <c r="Z19" i="80"/>
  <c r="AA19" i="80"/>
  <c r="AB19" i="80"/>
  <c r="Z20" i="80"/>
  <c r="AA20" i="80"/>
  <c r="AB20" i="80"/>
  <c r="Z23" i="80"/>
  <c r="AA23" i="80"/>
  <c r="AB23" i="80"/>
  <c r="Z26" i="80"/>
  <c r="AA26" i="80"/>
  <c r="AB26" i="80"/>
  <c r="Z21" i="80"/>
  <c r="AA21" i="80"/>
  <c r="AB21" i="80"/>
  <c r="Z16" i="80"/>
  <c r="AA16" i="80"/>
  <c r="AB16" i="80"/>
  <c r="Z30" i="80"/>
  <c r="AA30" i="80"/>
  <c r="AB30" i="80"/>
  <c r="Z27" i="80"/>
  <c r="AA27" i="80"/>
  <c r="AB27" i="80"/>
  <c r="Z29" i="80"/>
  <c r="AA29" i="80"/>
  <c r="AB29" i="80"/>
  <c r="Z22" i="80"/>
  <c r="AA22" i="80"/>
  <c r="AB22" i="80"/>
  <c r="Z24" i="80"/>
  <c r="AA24" i="80"/>
  <c r="AB24" i="80"/>
  <c r="Z32" i="80"/>
  <c r="AA32" i="80"/>
  <c r="AB32" i="80"/>
  <c r="Z17" i="80"/>
  <c r="AA17" i="80"/>
  <c r="AB17" i="80"/>
  <c r="Z25" i="80"/>
  <c r="AA25" i="80"/>
  <c r="AB25" i="80"/>
  <c r="Z33" i="80"/>
  <c r="AA33" i="80"/>
  <c r="AB33" i="80"/>
  <c r="Z34" i="80"/>
  <c r="AA34" i="80"/>
  <c r="AB34" i="80"/>
  <c r="Z31" i="80"/>
  <c r="AA31" i="80"/>
  <c r="AB31" i="80"/>
  <c r="Z28" i="80"/>
  <c r="AA28" i="80"/>
  <c r="AB28" i="80"/>
  <c r="Z36" i="80"/>
  <c r="AA36" i="80"/>
  <c r="AB36" i="80"/>
  <c r="Z35" i="80"/>
  <c r="AA35" i="80"/>
  <c r="AB35" i="80"/>
  <c r="Z37" i="80"/>
  <c r="AA37" i="80"/>
  <c r="AB37" i="80"/>
  <c r="Z38" i="80"/>
  <c r="AA38" i="80"/>
  <c r="AB38" i="80"/>
  <c r="Z41" i="80"/>
  <c r="AA41" i="80"/>
  <c r="AB41" i="80"/>
  <c r="Z42" i="80"/>
  <c r="AA42" i="80"/>
  <c r="AB42" i="80"/>
  <c r="Z44" i="80"/>
  <c r="AA44" i="80"/>
  <c r="AB44" i="80"/>
  <c r="Z43" i="80"/>
  <c r="AA43" i="80"/>
  <c r="AB43" i="80"/>
  <c r="Z45" i="80"/>
  <c r="AA45" i="80"/>
  <c r="AB45" i="80"/>
  <c r="Z47" i="80"/>
  <c r="AA47" i="80"/>
  <c r="AB47" i="80"/>
  <c r="Z46" i="80"/>
  <c r="AA46" i="80"/>
  <c r="AB46" i="80"/>
  <c r="Z48" i="80"/>
  <c r="AA48" i="80"/>
  <c r="AB48" i="80"/>
  <c r="Z49" i="80"/>
  <c r="AA49" i="80"/>
  <c r="AB49" i="80"/>
  <c r="Z50" i="80"/>
  <c r="AA50" i="80"/>
  <c r="AB50" i="80"/>
  <c r="Z51" i="80"/>
  <c r="AA51" i="80"/>
  <c r="AB51" i="80"/>
  <c r="Z52" i="80"/>
  <c r="AA52" i="80"/>
  <c r="AB52" i="80"/>
  <c r="Z53" i="80"/>
  <c r="AA53" i="80"/>
  <c r="AB53" i="80"/>
  <c r="Z40" i="80"/>
  <c r="AA40" i="80"/>
  <c r="AB40" i="80"/>
  <c r="Z54" i="80"/>
  <c r="AA54" i="80"/>
  <c r="AB54" i="80"/>
  <c r="Z39" i="80"/>
  <c r="AA39" i="80"/>
  <c r="AB39" i="80"/>
  <c r="Z55" i="80"/>
  <c r="AA55" i="80"/>
  <c r="AB55" i="80"/>
  <c r="Z56" i="80"/>
  <c r="AA56" i="80"/>
  <c r="AB56" i="80"/>
  <c r="Z57" i="80"/>
  <c r="AA57" i="80"/>
  <c r="AB57" i="80"/>
  <c r="AB8" i="80"/>
  <c r="AA8" i="80"/>
  <c r="Z8" i="80"/>
  <c r="V58" i="80"/>
  <c r="I40" i="2"/>
  <c r="U58" i="80"/>
  <c r="I38" i="2"/>
  <c r="T58" i="80"/>
  <c r="I37" i="2"/>
  <c r="S58" i="80"/>
  <c r="I34" i="2"/>
  <c r="R58" i="80"/>
  <c r="I29" i="2"/>
  <c r="Q58" i="80"/>
  <c r="I26" i="2"/>
  <c r="P58" i="80"/>
  <c r="I25" i="2"/>
  <c r="O58" i="80"/>
  <c r="I23" i="2"/>
  <c r="N58" i="80"/>
  <c r="I19" i="2"/>
  <c r="M58" i="80"/>
  <c r="I15" i="2"/>
  <c r="L58" i="80"/>
  <c r="I12" i="2"/>
  <c r="K58" i="80"/>
  <c r="I8" i="2"/>
  <c r="J58" i="80"/>
  <c r="I7" i="2"/>
  <c r="D58" i="80"/>
  <c r="C58" i="80"/>
  <c r="B58" i="80"/>
  <c r="Y39" i="80"/>
  <c r="X39" i="80"/>
  <c r="W39" i="80"/>
  <c r="I39" i="80" a="1"/>
  <c r="I39" i="80"/>
  <c r="G39" i="80"/>
  <c r="Y40" i="80"/>
  <c r="X40" i="80"/>
  <c r="W40" i="80"/>
  <c r="I40" i="80" a="1"/>
  <c r="I40" i="80"/>
  <c r="G40" i="80"/>
  <c r="Y53" i="80"/>
  <c r="X53" i="80"/>
  <c r="W53" i="80"/>
  <c r="I53" i="80" a="1"/>
  <c r="I53" i="80"/>
  <c r="G53" i="80"/>
  <c r="Y57" i="80"/>
  <c r="X57" i="80"/>
  <c r="W57" i="80"/>
  <c r="I57" i="80" a="1"/>
  <c r="I57" i="80"/>
  <c r="Y56" i="80"/>
  <c r="X56" i="80"/>
  <c r="W56" i="80"/>
  <c r="I56" i="80" a="1"/>
  <c r="I56" i="80" s="1"/>
  <c r="Y55" i="80"/>
  <c r="X55" i="80"/>
  <c r="W55" i="80"/>
  <c r="I55" i="80" a="1"/>
  <c r="I55" i="80" s="1"/>
  <c r="Y54" i="80"/>
  <c r="X54" i="80"/>
  <c r="W54" i="80"/>
  <c r="I54" i="80" a="1"/>
  <c r="I54" i="80" s="1"/>
  <c r="Y36" i="80"/>
  <c r="X36" i="80"/>
  <c r="W36" i="80"/>
  <c r="I36" i="80" a="1"/>
  <c r="I36" i="80" s="1"/>
  <c r="Y38" i="80"/>
  <c r="X38" i="80"/>
  <c r="W38" i="80"/>
  <c r="I38" i="80" a="1"/>
  <c r="I38" i="80" s="1"/>
  <c r="Y52" i="80"/>
  <c r="X52" i="80"/>
  <c r="W52" i="80"/>
  <c r="I52" i="80" a="1"/>
  <c r="I52" i="80" s="1"/>
  <c r="Y35" i="80"/>
  <c r="X35" i="80"/>
  <c r="W35" i="80"/>
  <c r="I35" i="80" a="1"/>
  <c r="I35" i="80"/>
  <c r="G35" i="80"/>
  <c r="Y51" i="80"/>
  <c r="X51" i="80"/>
  <c r="W51" i="80"/>
  <c r="I51" i="80" a="1"/>
  <c r="I51" i="80" s="1"/>
  <c r="Y50" i="80"/>
  <c r="X50" i="80"/>
  <c r="W50" i="80"/>
  <c r="I50" i="80" a="1"/>
  <c r="I50" i="80" s="1"/>
  <c r="Y49" i="80"/>
  <c r="X49" i="80"/>
  <c r="W49" i="80"/>
  <c r="I49" i="80" a="1"/>
  <c r="I49" i="80" s="1"/>
  <c r="Y37" i="80"/>
  <c r="X37" i="80"/>
  <c r="W37" i="80"/>
  <c r="I37" i="80" a="1"/>
  <c r="I37" i="80" s="1"/>
  <c r="Y48" i="80"/>
  <c r="X48" i="80"/>
  <c r="W48" i="80"/>
  <c r="I48" i="80" a="1"/>
  <c r="I48" i="80" s="1"/>
  <c r="Y46" i="80"/>
  <c r="X46" i="80"/>
  <c r="W46" i="80"/>
  <c r="I46" i="80" a="1"/>
  <c r="I46" i="80" s="1"/>
  <c r="Y47" i="80"/>
  <c r="X47" i="80"/>
  <c r="W47" i="80"/>
  <c r="I47" i="80" a="1"/>
  <c r="I47" i="80" s="1"/>
  <c r="Y45" i="80"/>
  <c r="X45" i="80"/>
  <c r="W45" i="80"/>
  <c r="I45" i="80" a="1"/>
  <c r="I45" i="80" s="1"/>
  <c r="G45" i="80" s="1"/>
  <c r="Y43" i="80"/>
  <c r="X43" i="80"/>
  <c r="W43" i="80"/>
  <c r="I43" i="80" a="1"/>
  <c r="I43" i="80"/>
  <c r="G43" i="80"/>
  <c r="Y44" i="80"/>
  <c r="X44" i="80"/>
  <c r="W44" i="80"/>
  <c r="I44" i="80" a="1"/>
  <c r="I44" i="80" s="1"/>
  <c r="Y42" i="80"/>
  <c r="X42" i="80"/>
  <c r="W42" i="80"/>
  <c r="I42" i="80" a="1"/>
  <c r="I42" i="80" s="1"/>
  <c r="Y41" i="80"/>
  <c r="X41" i="80"/>
  <c r="W41" i="80"/>
  <c r="I41" i="80" a="1"/>
  <c r="I41" i="80" s="1"/>
  <c r="Y33" i="80"/>
  <c r="X33" i="80"/>
  <c r="W33" i="80"/>
  <c r="I33" i="80" a="1"/>
  <c r="I33" i="80" s="1"/>
  <c r="Y28" i="80"/>
  <c r="X28" i="80"/>
  <c r="W28" i="80"/>
  <c r="I28" i="80" a="1"/>
  <c r="I28" i="80" s="1"/>
  <c r="Y34" i="80"/>
  <c r="X34" i="80"/>
  <c r="W34" i="80"/>
  <c r="I34" i="80" a="1"/>
  <c r="I34" i="80" s="1"/>
  <c r="Y31" i="80"/>
  <c r="X31" i="80"/>
  <c r="W31" i="80"/>
  <c r="I31" i="80" a="1"/>
  <c r="I31" i="80" s="1"/>
  <c r="Y24" i="80"/>
  <c r="X24" i="80"/>
  <c r="W24" i="80"/>
  <c r="I24" i="80" a="1"/>
  <c r="I24" i="80" s="1"/>
  <c r="Y25" i="80"/>
  <c r="X25" i="80"/>
  <c r="W25" i="80"/>
  <c r="I25" i="80" a="1"/>
  <c r="I25" i="80"/>
  <c r="Y17" i="80"/>
  <c r="X17" i="80"/>
  <c r="W17" i="80"/>
  <c r="I17" i="80" a="1"/>
  <c r="I17" i="80"/>
  <c r="Y16" i="80"/>
  <c r="X16" i="80"/>
  <c r="W16" i="80"/>
  <c r="I16" i="80" a="1"/>
  <c r="I16" i="80"/>
  <c r="Y32" i="80"/>
  <c r="X32" i="80"/>
  <c r="W32" i="80"/>
  <c r="I32" i="80" a="1"/>
  <c r="I32" i="80"/>
  <c r="Y27" i="80"/>
  <c r="X27" i="80"/>
  <c r="W27" i="80"/>
  <c r="I27" i="80" a="1"/>
  <c r="I27" i="80"/>
  <c r="Y30" i="80"/>
  <c r="X30" i="80"/>
  <c r="W30" i="80"/>
  <c r="I30" i="80" a="1"/>
  <c r="I30" i="80"/>
  <c r="Y29" i="80"/>
  <c r="X29" i="80"/>
  <c r="W29" i="80"/>
  <c r="I29" i="80" a="1"/>
  <c r="I29" i="80"/>
  <c r="Y22" i="80"/>
  <c r="X22" i="80"/>
  <c r="W22" i="80"/>
  <c r="I22" i="80" a="1"/>
  <c r="I22" i="80"/>
  <c r="Y21" i="80"/>
  <c r="X21" i="80"/>
  <c r="W21" i="80"/>
  <c r="I21" i="80" a="1"/>
  <c r="I21" i="80"/>
  <c r="Y26" i="80"/>
  <c r="X26" i="80"/>
  <c r="W26" i="80"/>
  <c r="I26" i="80" a="1"/>
  <c r="I26" i="80"/>
  <c r="Y14" i="80"/>
  <c r="X14" i="80"/>
  <c r="W14" i="80"/>
  <c r="I14" i="80" a="1"/>
  <c r="I14" i="80"/>
  <c r="Y19" i="80"/>
  <c r="X19" i="80"/>
  <c r="W19" i="80"/>
  <c r="I19" i="80" a="1"/>
  <c r="I19" i="80"/>
  <c r="Y20" i="80"/>
  <c r="X20" i="80"/>
  <c r="W20" i="80"/>
  <c r="I20" i="80" a="1"/>
  <c r="I20" i="80"/>
  <c r="Y23" i="80"/>
  <c r="X23" i="80"/>
  <c r="W23" i="80"/>
  <c r="I23" i="80" a="1"/>
  <c r="I23" i="80"/>
  <c r="Y15" i="80"/>
  <c r="X15" i="80"/>
  <c r="W15" i="80"/>
  <c r="I15" i="80" a="1"/>
  <c r="I15" i="80"/>
  <c r="G15" i="80"/>
  <c r="Y11" i="80"/>
  <c r="X11" i="80"/>
  <c r="W11" i="80"/>
  <c r="I11" i="80" a="1"/>
  <c r="I11" i="80" s="1"/>
  <c r="Y18" i="80"/>
  <c r="X18" i="80"/>
  <c r="W18" i="80"/>
  <c r="I18" i="80" a="1"/>
  <c r="I18" i="80" s="1"/>
  <c r="Y12" i="80"/>
  <c r="X12" i="80"/>
  <c r="W12" i="80"/>
  <c r="I12" i="80" a="1"/>
  <c r="I12" i="80" s="1"/>
  <c r="Y13" i="80"/>
  <c r="X13" i="80"/>
  <c r="W13" i="80"/>
  <c r="I13" i="80" a="1"/>
  <c r="I13" i="80" s="1"/>
  <c r="Y10" i="80"/>
  <c r="X10" i="80"/>
  <c r="W10" i="80"/>
  <c r="I10" i="80" a="1"/>
  <c r="I10" i="80" s="1"/>
  <c r="Y9" i="80"/>
  <c r="X9" i="80"/>
  <c r="W9" i="80"/>
  <c r="I9" i="80" a="1"/>
  <c r="I9" i="80" s="1"/>
  <c r="Y8" i="80"/>
  <c r="X8" i="80"/>
  <c r="W8" i="80"/>
  <c r="I8" i="80" a="1"/>
  <c r="I8" i="80" s="1"/>
  <c r="A48" i="64"/>
  <c r="N8" i="64"/>
  <c r="N9" i="64"/>
  <c r="N10" i="64"/>
  <c r="N11" i="64"/>
  <c r="N12" i="64"/>
  <c r="N13" i="64"/>
  <c r="N15" i="64"/>
  <c r="N17" i="64"/>
  <c r="N16" i="64"/>
  <c r="N14" i="64"/>
  <c r="N22" i="64"/>
  <c r="N25" i="64"/>
  <c r="N19" i="64"/>
  <c r="N18" i="64"/>
  <c r="N21" i="64"/>
  <c r="N20" i="64"/>
  <c r="N26" i="64"/>
  <c r="N24" i="64"/>
  <c r="N29" i="64"/>
  <c r="N23" i="64"/>
  <c r="N33" i="64"/>
  <c r="N27" i="64"/>
  <c r="N37" i="64"/>
  <c r="N36" i="64"/>
  <c r="N34" i="64"/>
  <c r="N35" i="64"/>
  <c r="N38" i="64"/>
  <c r="N39" i="64"/>
  <c r="N28" i="64"/>
  <c r="N40" i="64"/>
  <c r="N31" i="64"/>
  <c r="N41" i="64"/>
  <c r="N43" i="64"/>
  <c r="N42" i="64"/>
  <c r="N44" i="64"/>
  <c r="N46" i="64"/>
  <c r="N45" i="64"/>
  <c r="N32" i="64"/>
  <c r="Q48" i="64"/>
  <c r="E48" i="64"/>
  <c r="I11" i="2" s="1"/>
  <c r="F48" i="64"/>
  <c r="G48" i="64"/>
  <c r="I18" i="2" s="1"/>
  <c r="H48" i="64"/>
  <c r="H49" i="64" s="1"/>
  <c r="I48" i="64"/>
  <c r="I24" i="2"/>
  <c r="J48" i="64"/>
  <c r="K48" i="64"/>
  <c r="I32" i="2" s="1"/>
  <c r="L48" i="64"/>
  <c r="L49" i="64" s="1"/>
  <c r="M48" i="64"/>
  <c r="I39" i="2" s="1"/>
  <c r="D48" i="64"/>
  <c r="C40" i="64"/>
  <c r="C39" i="64"/>
  <c r="C28" i="64"/>
  <c r="C32" i="64"/>
  <c r="P40" i="64"/>
  <c r="R40" i="64"/>
  <c r="P39" i="64"/>
  <c r="R39" i="64"/>
  <c r="P28" i="64"/>
  <c r="R28" i="64"/>
  <c r="P32" i="64"/>
  <c r="R32" i="64"/>
  <c r="M65" i="3"/>
  <c r="K61" i="3"/>
  <c r="N61" i="3"/>
  <c r="M71" i="3"/>
  <c r="K71" i="3"/>
  <c r="M56" i="3"/>
  <c r="G56" i="3"/>
  <c r="F23" i="2"/>
  <c r="F26" i="2"/>
  <c r="A3" i="58" s="1"/>
  <c r="F25" i="2"/>
  <c r="G50" i="3"/>
  <c r="F6" i="2"/>
  <c r="A3" i="65"/>
  <c r="A2" i="76"/>
  <c r="A4" i="76"/>
  <c r="A3" i="76"/>
  <c r="M35" i="3"/>
  <c r="K35" i="3"/>
  <c r="K45" i="3"/>
  <c r="K42" i="3"/>
  <c r="R8" i="64"/>
  <c r="R11" i="64"/>
  <c r="R12" i="64"/>
  <c r="R13" i="64"/>
  <c r="R17" i="64"/>
  <c r="R22" i="64"/>
  <c r="R37" i="64"/>
  <c r="R15" i="64"/>
  <c r="R10" i="64"/>
  <c r="R24" i="64"/>
  <c r="R14" i="64"/>
  <c r="R18" i="64"/>
  <c r="R29" i="64"/>
  <c r="R19" i="64"/>
  <c r="R44" i="64"/>
  <c r="R16" i="64"/>
  <c r="R33" i="64"/>
  <c r="R25" i="64"/>
  <c r="R38" i="64"/>
  <c r="R27" i="64"/>
  <c r="R36" i="64"/>
  <c r="R34" i="64"/>
  <c r="R41" i="64"/>
  <c r="R47" i="64"/>
  <c r="R46" i="64"/>
  <c r="R21" i="64"/>
  <c r="R20" i="64"/>
  <c r="R26" i="64"/>
  <c r="R30" i="64"/>
  <c r="R43" i="64"/>
  <c r="R42" i="64"/>
  <c r="R31" i="64"/>
  <c r="R45" i="64"/>
  <c r="R23" i="64"/>
  <c r="R35" i="64"/>
  <c r="R9" i="64"/>
  <c r="M22" i="3"/>
  <c r="M32" i="3"/>
  <c r="K40" i="3"/>
  <c r="K38" i="3"/>
  <c r="K29" i="3"/>
  <c r="K32" i="3"/>
  <c r="K24" i="3"/>
  <c r="M24" i="3"/>
  <c r="L47" i="3"/>
  <c r="A1" i="74"/>
  <c r="A1" i="73"/>
  <c r="A1" i="72"/>
  <c r="A1" i="71"/>
  <c r="A1" i="70"/>
  <c r="A1" i="69"/>
  <c r="A1" i="68"/>
  <c r="A1" i="67"/>
  <c r="A1" i="75"/>
  <c r="A1" i="65"/>
  <c r="A4" i="75"/>
  <c r="A2" i="75"/>
  <c r="C33" i="64"/>
  <c r="P33" i="64"/>
  <c r="C25" i="64"/>
  <c r="P25" i="64"/>
  <c r="C38" i="64"/>
  <c r="P38" i="64"/>
  <c r="C27" i="64"/>
  <c r="P27" i="64"/>
  <c r="C36" i="64"/>
  <c r="P36" i="64"/>
  <c r="C34" i="64"/>
  <c r="P34" i="64"/>
  <c r="C41" i="64"/>
  <c r="P41" i="64"/>
  <c r="C47" i="64"/>
  <c r="P47" i="64"/>
  <c r="C46" i="64"/>
  <c r="P46" i="64"/>
  <c r="C21" i="64"/>
  <c r="P21" i="64"/>
  <c r="C20" i="64"/>
  <c r="P20" i="64"/>
  <c r="C26" i="64"/>
  <c r="P26" i="64"/>
  <c r="C30" i="64"/>
  <c r="P30" i="64"/>
  <c r="C43" i="64"/>
  <c r="P43" i="64"/>
  <c r="C42" i="64"/>
  <c r="P42" i="64"/>
  <c r="C31" i="64"/>
  <c r="P31" i="64"/>
  <c r="C45" i="64"/>
  <c r="P45" i="64"/>
  <c r="C23" i="64"/>
  <c r="P23" i="64"/>
  <c r="C35" i="64"/>
  <c r="P35" i="64"/>
  <c r="C13" i="64"/>
  <c r="C9" i="64"/>
  <c r="C8" i="64"/>
  <c r="C11" i="64"/>
  <c r="C14" i="64"/>
  <c r="C29" i="64"/>
  <c r="C19" i="64"/>
  <c r="C10" i="64"/>
  <c r="C16" i="64"/>
  <c r="C22" i="64"/>
  <c r="C15" i="64"/>
  <c r="C17" i="64"/>
  <c r="C44" i="64"/>
  <c r="C37" i="64"/>
  <c r="C24" i="64"/>
  <c r="C18" i="64"/>
  <c r="C12" i="64"/>
  <c r="A4" i="74"/>
  <c r="A2" i="74"/>
  <c r="A4" i="73"/>
  <c r="A2" i="73"/>
  <c r="A4" i="71"/>
  <c r="A2" i="71"/>
  <c r="A4" i="70"/>
  <c r="A2" i="70"/>
  <c r="A4" i="69"/>
  <c r="A2" i="69"/>
  <c r="A4" i="67"/>
  <c r="A2" i="67"/>
  <c r="A4" i="68"/>
  <c r="A3" i="68"/>
  <c r="A2" i="68"/>
  <c r="A4" i="72"/>
  <c r="A2" i="72"/>
  <c r="A4" i="65"/>
  <c r="A2" i="65"/>
  <c r="M5" i="64"/>
  <c r="L5" i="64"/>
  <c r="K5" i="64"/>
  <c r="J5" i="64"/>
  <c r="I5" i="64"/>
  <c r="H5" i="64"/>
  <c r="E5" i="64"/>
  <c r="G5" i="64"/>
  <c r="F5" i="64"/>
  <c r="D5" i="64"/>
  <c r="J49" i="64"/>
  <c r="F49" i="64"/>
  <c r="D49" i="64"/>
  <c r="P44" i="64"/>
  <c r="P16" i="64"/>
  <c r="P19" i="64"/>
  <c r="P29" i="64"/>
  <c r="P18" i="64"/>
  <c r="P24" i="64"/>
  <c r="P14" i="64"/>
  <c r="P15" i="64"/>
  <c r="P10" i="64"/>
  <c r="P37" i="64"/>
  <c r="P22" i="64"/>
  <c r="P17" i="64"/>
  <c r="P13" i="64"/>
  <c r="P12" i="64"/>
  <c r="P11" i="64"/>
  <c r="P8" i="64"/>
  <c r="P9" i="64"/>
  <c r="N19" i="3"/>
  <c r="C25" i="3"/>
  <c r="K27" i="3"/>
  <c r="K119" i="3"/>
  <c r="A1" i="52"/>
  <c r="A1" i="30"/>
  <c r="A1" i="51"/>
  <c r="A1" i="50"/>
  <c r="A1" i="49"/>
  <c r="N21" i="3"/>
  <c r="L22" i="3"/>
  <c r="K16" i="3"/>
  <c r="L12" i="3"/>
  <c r="L13" i="3"/>
  <c r="K19" i="3"/>
  <c r="K63" i="3"/>
  <c r="N22" i="3"/>
  <c r="L44" i="3"/>
  <c r="K20" i="3"/>
  <c r="K11" i="3"/>
  <c r="M42" i="3"/>
  <c r="N15" i="3"/>
  <c r="B42" i="9"/>
  <c r="M14" i="3"/>
  <c r="K59" i="3"/>
  <c r="K84" i="3"/>
  <c r="K85" i="3"/>
  <c r="L65" i="3"/>
  <c r="K65" i="3"/>
  <c r="M8" i="3"/>
  <c r="M10" i="3"/>
  <c r="K10" i="3"/>
  <c r="M19" i="3"/>
  <c r="F43" i="2"/>
  <c r="F39" i="2"/>
  <c r="A3" i="74" s="1"/>
  <c r="F36" i="2"/>
  <c r="A3" i="73" s="1"/>
  <c r="F32" i="2"/>
  <c r="A3" i="72" s="1"/>
  <c r="F28" i="2"/>
  <c r="A3" i="71" s="1"/>
  <c r="F24" i="2"/>
  <c r="A3" i="70" s="1"/>
  <c r="F22" i="2"/>
  <c r="A3" i="69" s="1"/>
  <c r="F14" i="2"/>
  <c r="A3" i="67" s="1"/>
  <c r="F11" i="2"/>
  <c r="A3" i="75" s="1"/>
  <c r="K60" i="3"/>
  <c r="M95" i="3"/>
  <c r="A1" i="63"/>
  <c r="F40" i="2"/>
  <c r="A3" i="63"/>
  <c r="A4" i="60"/>
  <c r="A2" i="60"/>
  <c r="A1" i="81"/>
  <c r="F38" i="2"/>
  <c r="A3" i="81" s="1"/>
  <c r="A1" i="61"/>
  <c r="A1" i="60"/>
  <c r="F34" i="2"/>
  <c r="A3" i="60" s="1"/>
  <c r="F29" i="2"/>
  <c r="A1" i="59"/>
  <c r="A1" i="58"/>
  <c r="A1" i="57"/>
  <c r="A1" i="56"/>
  <c r="A1" i="76"/>
  <c r="A1" i="53"/>
  <c r="M90" i="3"/>
  <c r="G76" i="3"/>
  <c r="G68" i="3"/>
  <c r="M102" i="3"/>
  <c r="M74" i="3"/>
  <c r="M7" i="3"/>
  <c r="C35" i="3"/>
  <c r="G22" i="3"/>
  <c r="K74" i="3"/>
  <c r="K37" i="3"/>
  <c r="M20" i="3"/>
  <c r="K54" i="3"/>
  <c r="K36" i="3"/>
  <c r="M30" i="3"/>
  <c r="K30" i="3"/>
  <c r="L37" i="3"/>
  <c r="M29" i="3"/>
  <c r="M87" i="3"/>
  <c r="A4" i="63"/>
  <c r="A2" i="63"/>
  <c r="A4" i="61"/>
  <c r="A3" i="61"/>
  <c r="A2" i="61"/>
  <c r="A4" i="59"/>
  <c r="A3" i="59"/>
  <c r="A2" i="59"/>
  <c r="A4" i="58"/>
  <c r="A2" i="58"/>
  <c r="A4" i="57"/>
  <c r="A2" i="57"/>
  <c r="A4" i="56"/>
  <c r="A3" i="56"/>
  <c r="A2" i="56"/>
  <c r="A4" i="53"/>
  <c r="A3" i="53"/>
  <c r="A2" i="53"/>
  <c r="M63" i="3"/>
  <c r="M48" i="3"/>
  <c r="M33" i="3"/>
  <c r="K17" i="3"/>
  <c r="M17" i="3"/>
  <c r="K8" i="3"/>
  <c r="M66" i="3"/>
  <c r="A1" i="21"/>
  <c r="A1" i="34"/>
  <c r="A1" i="33"/>
  <c r="A1" i="32"/>
  <c r="A1" i="54"/>
  <c r="A1" i="31"/>
  <c r="A4" i="54"/>
  <c r="A2" i="54"/>
  <c r="I16" i="2"/>
  <c r="I5" i="2"/>
  <c r="A3" i="57"/>
  <c r="F16" i="2"/>
  <c r="A3" i="54" s="1"/>
  <c r="F33" i="2"/>
  <c r="F21" i="2"/>
  <c r="F17" i="2"/>
  <c r="F10" i="2"/>
  <c r="F45" i="2"/>
  <c r="A3" i="21" s="1"/>
  <c r="F31" i="2"/>
  <c r="F30" i="2"/>
  <c r="F12" i="2"/>
  <c r="A3" i="52" s="1"/>
  <c r="F8" i="2"/>
  <c r="A3" i="51" s="1"/>
  <c r="F7" i="2"/>
  <c r="A3" i="50" s="1"/>
  <c r="F5" i="2"/>
  <c r="A3" i="49"/>
  <c r="M68" i="3"/>
  <c r="K68" i="3"/>
  <c r="M53" i="3"/>
  <c r="K53" i="3"/>
  <c r="M50" i="3"/>
  <c r="K50" i="3"/>
  <c r="K56" i="3"/>
  <c r="M26" i="3"/>
  <c r="K26" i="3"/>
  <c r="C76" i="3"/>
  <c r="C50" i="3"/>
  <c r="M5" i="3"/>
  <c r="M13" i="3"/>
  <c r="G10" i="3"/>
  <c r="C19" i="3"/>
  <c r="L4" i="9"/>
  <c r="K4" i="9"/>
  <c r="J4" i="9"/>
  <c r="A4" i="52"/>
  <c r="A2" i="52"/>
  <c r="A4" i="51"/>
  <c r="A2" i="51"/>
  <c r="A4" i="50"/>
  <c r="A2" i="50"/>
  <c r="A4" i="49"/>
  <c r="A2" i="4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7" i="9"/>
  <c r="I8" i="9"/>
  <c r="G8" i="9" s="1"/>
  <c r="I9" i="9"/>
  <c r="I10" i="9"/>
  <c r="G10" i="9" s="1"/>
  <c r="I11" i="9"/>
  <c r="G11" i="9" s="1"/>
  <c r="I12" i="9"/>
  <c r="I13" i="9"/>
  <c r="I14" i="9"/>
  <c r="I15" i="9"/>
  <c r="I16" i="9"/>
  <c r="G16" i="9" s="1"/>
  <c r="I17" i="9"/>
  <c r="I18" i="9"/>
  <c r="I19" i="9"/>
  <c r="G19" i="9" s="1"/>
  <c r="I20" i="9"/>
  <c r="I21" i="9"/>
  <c r="I22" i="9"/>
  <c r="I23" i="9"/>
  <c r="G23" i="9" s="1"/>
  <c r="I24" i="9"/>
  <c r="G24" i="9" s="1"/>
  <c r="I25" i="9"/>
  <c r="G25" i="9" s="1"/>
  <c r="I26" i="9"/>
  <c r="G26" i="9" s="1"/>
  <c r="I27" i="9"/>
  <c r="I28" i="9"/>
  <c r="I29" i="9"/>
  <c r="G29" i="9" s="1"/>
  <c r="I30" i="9"/>
  <c r="I31" i="9"/>
  <c r="G31" i="9" s="1"/>
  <c r="I32" i="9"/>
  <c r="G32" i="9" s="1"/>
  <c r="I33" i="9"/>
  <c r="I34" i="9"/>
  <c r="I35" i="9"/>
  <c r="G35" i="9" s="1"/>
  <c r="I36" i="9"/>
  <c r="G36" i="9" s="1"/>
  <c r="I37" i="9"/>
  <c r="G37" i="9"/>
  <c r="I38" i="9"/>
  <c r="I39" i="9"/>
  <c r="G39" i="9" s="1"/>
  <c r="I40" i="9"/>
  <c r="G40" i="9" s="1"/>
  <c r="I7" i="9"/>
  <c r="G7" i="9" s="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7" i="21"/>
  <c r="W13" i="21" s="1"/>
  <c r="Q4" i="29"/>
  <c r="P4" i="29"/>
  <c r="O4" i="29"/>
  <c r="N4" i="29"/>
  <c r="M4" i="29"/>
  <c r="Y23" i="21"/>
  <c r="X23" i="21"/>
  <c r="Y22" i="21"/>
  <c r="X22" i="21"/>
  <c r="Y21" i="21"/>
  <c r="X21" i="21"/>
  <c r="Y20" i="21"/>
  <c r="X20" i="21"/>
  <c r="Y19" i="21"/>
  <c r="X19" i="21"/>
  <c r="Y18" i="21"/>
  <c r="X18" i="21"/>
  <c r="Y17" i="21"/>
  <c r="X17" i="21"/>
  <c r="Y16" i="21"/>
  <c r="X16" i="21"/>
  <c r="Y15" i="21"/>
  <c r="X15" i="21"/>
  <c r="Y14" i="21"/>
  <c r="X14" i="21"/>
  <c r="Y13" i="21"/>
  <c r="X13" i="21"/>
  <c r="Y12" i="21"/>
  <c r="X12" i="21"/>
  <c r="Y11" i="21"/>
  <c r="X11" i="21"/>
  <c r="Y10" i="21"/>
  <c r="X10" i="21"/>
  <c r="Y9" i="21"/>
  <c r="X9" i="21"/>
  <c r="Y8" i="21"/>
  <c r="X8" i="21"/>
  <c r="Y7" i="21"/>
  <c r="X7" i="21"/>
  <c r="A4" i="34"/>
  <c r="A3" i="34"/>
  <c r="A2" i="34"/>
  <c r="A4" i="33"/>
  <c r="A3" i="33"/>
  <c r="A2" i="33"/>
  <c r="A4" i="32"/>
  <c r="A3" i="32"/>
  <c r="A2" i="32"/>
  <c r="A4" i="31"/>
  <c r="A3" i="31"/>
  <c r="A2" i="31"/>
  <c r="A4" i="30"/>
  <c r="A3" i="30"/>
  <c r="A2" i="30"/>
  <c r="I42" i="2"/>
  <c r="P30" i="29"/>
  <c r="O30" i="29"/>
  <c r="N30" i="29"/>
  <c r="M30" i="29"/>
  <c r="T28" i="29"/>
  <c r="S28" i="29"/>
  <c r="R28" i="29"/>
  <c r="T24" i="29"/>
  <c r="S24" i="29"/>
  <c r="R24" i="29"/>
  <c r="T27" i="29"/>
  <c r="S27" i="29"/>
  <c r="R27" i="29"/>
  <c r="T9" i="29"/>
  <c r="S9" i="29"/>
  <c r="R9" i="29"/>
  <c r="T12" i="29"/>
  <c r="S12" i="29"/>
  <c r="R12" i="29"/>
  <c r="T11" i="29"/>
  <c r="S11" i="29"/>
  <c r="R11" i="29"/>
  <c r="T21" i="29"/>
  <c r="S21" i="29"/>
  <c r="R21" i="29"/>
  <c r="T20" i="29"/>
  <c r="S20" i="29"/>
  <c r="R20" i="29"/>
  <c r="T19" i="29"/>
  <c r="S19" i="29"/>
  <c r="R19" i="29"/>
  <c r="T17" i="29"/>
  <c r="S17" i="29"/>
  <c r="R17" i="29"/>
  <c r="T13" i="29"/>
  <c r="S13" i="29"/>
  <c r="R13" i="29"/>
  <c r="T16" i="29"/>
  <c r="S16" i="29"/>
  <c r="R16" i="29"/>
  <c r="T15" i="29"/>
  <c r="S15" i="29"/>
  <c r="R15" i="29"/>
  <c r="T18" i="29"/>
  <c r="S18" i="29"/>
  <c r="R18" i="29"/>
  <c r="T26" i="29"/>
  <c r="S26" i="29"/>
  <c r="R26" i="29"/>
  <c r="T25" i="29"/>
  <c r="S25" i="29"/>
  <c r="R25" i="29"/>
  <c r="T10" i="29"/>
  <c r="S10" i="29"/>
  <c r="R10" i="29"/>
  <c r="T14" i="29"/>
  <c r="S14" i="29"/>
  <c r="R14" i="29"/>
  <c r="T7" i="29"/>
  <c r="S7" i="29"/>
  <c r="R7" i="29"/>
  <c r="T22" i="29"/>
  <c r="S22" i="29"/>
  <c r="R22" i="29"/>
  <c r="T23" i="29"/>
  <c r="S23" i="29"/>
  <c r="R23" i="29"/>
  <c r="T8" i="29"/>
  <c r="S8" i="29"/>
  <c r="S29" i="29" s="1"/>
  <c r="R8" i="29"/>
  <c r="A4" i="21"/>
  <c r="A2" i="21"/>
  <c r="L42" i="9"/>
  <c r="K42" i="9"/>
  <c r="K43" i="9"/>
  <c r="J42" i="9"/>
  <c r="J43" i="9"/>
  <c r="D42" i="9"/>
  <c r="C42" i="9"/>
  <c r="O40" i="9"/>
  <c r="N40" i="9"/>
  <c r="M40" i="9"/>
  <c r="F40" i="9"/>
  <c r="O39" i="9"/>
  <c r="N39" i="9"/>
  <c r="M39" i="9"/>
  <c r="F39" i="9"/>
  <c r="O38" i="9"/>
  <c r="N38" i="9"/>
  <c r="M38" i="9"/>
  <c r="F38" i="9"/>
  <c r="O37" i="9"/>
  <c r="N37" i="9"/>
  <c r="M37" i="9"/>
  <c r="F37" i="9"/>
  <c r="O36" i="9"/>
  <c r="N36" i="9"/>
  <c r="M36" i="9"/>
  <c r="F36" i="9"/>
  <c r="O35" i="9"/>
  <c r="N35" i="9"/>
  <c r="M35" i="9"/>
  <c r="F35" i="9"/>
  <c r="O34" i="9"/>
  <c r="N34" i="9"/>
  <c r="M34" i="9"/>
  <c r="F34" i="9"/>
  <c r="O33" i="9"/>
  <c r="N33" i="9"/>
  <c r="M33" i="9"/>
  <c r="F33" i="9"/>
  <c r="O32" i="9"/>
  <c r="N32" i="9"/>
  <c r="M32" i="9"/>
  <c r="F32" i="9"/>
  <c r="O31" i="9"/>
  <c r="N31" i="9"/>
  <c r="M31" i="9"/>
  <c r="F31" i="9"/>
  <c r="O30" i="9"/>
  <c r="N30" i="9"/>
  <c r="M30" i="9"/>
  <c r="F30" i="9"/>
  <c r="O29" i="9"/>
  <c r="N29" i="9"/>
  <c r="M29" i="9"/>
  <c r="F29" i="9"/>
  <c r="O28" i="9"/>
  <c r="N28" i="9"/>
  <c r="M28" i="9"/>
  <c r="F28" i="9"/>
  <c r="O27" i="9"/>
  <c r="N27" i="9"/>
  <c r="M27" i="9"/>
  <c r="F27" i="9"/>
  <c r="O26" i="9"/>
  <c r="N26" i="9"/>
  <c r="M26" i="9"/>
  <c r="F26" i="9"/>
  <c r="O25" i="9"/>
  <c r="N25" i="9"/>
  <c r="M25" i="9"/>
  <c r="F25" i="9"/>
  <c r="O24" i="9"/>
  <c r="N24" i="9"/>
  <c r="M24" i="9"/>
  <c r="F24" i="9"/>
  <c r="O23" i="9"/>
  <c r="N23" i="9"/>
  <c r="M23" i="9"/>
  <c r="F23" i="9"/>
  <c r="O22" i="9"/>
  <c r="N22" i="9"/>
  <c r="M22" i="9"/>
  <c r="F22" i="9"/>
  <c r="O21" i="9"/>
  <c r="N21" i="9"/>
  <c r="M21" i="9"/>
  <c r="F21" i="9"/>
  <c r="O20" i="9"/>
  <c r="N20" i="9"/>
  <c r="M20" i="9"/>
  <c r="F20" i="9"/>
  <c r="O19" i="9"/>
  <c r="N19" i="9"/>
  <c r="M19" i="9"/>
  <c r="F19" i="9"/>
  <c r="O18" i="9"/>
  <c r="N18" i="9"/>
  <c r="M18" i="9"/>
  <c r="F18" i="9"/>
  <c r="O17" i="9"/>
  <c r="N17" i="9"/>
  <c r="M17" i="9"/>
  <c r="F17" i="9"/>
  <c r="O16" i="9"/>
  <c r="N16" i="9"/>
  <c r="M16" i="9"/>
  <c r="F16" i="9"/>
  <c r="O15" i="9"/>
  <c r="N15" i="9"/>
  <c r="M15" i="9"/>
  <c r="F15" i="9"/>
  <c r="O14" i="9"/>
  <c r="N14" i="9"/>
  <c r="M14" i="9"/>
  <c r="F14" i="9"/>
  <c r="O13" i="9"/>
  <c r="N13" i="9"/>
  <c r="M13" i="9"/>
  <c r="F13" i="9"/>
  <c r="O12" i="9"/>
  <c r="N12" i="9"/>
  <c r="M12" i="9"/>
  <c r="F12" i="9"/>
  <c r="O11" i="9"/>
  <c r="N11" i="9"/>
  <c r="M11" i="9"/>
  <c r="F11" i="9"/>
  <c r="O10" i="9"/>
  <c r="N10" i="9"/>
  <c r="M10" i="9"/>
  <c r="F10" i="9"/>
  <c r="O9" i="9"/>
  <c r="N9" i="9"/>
  <c r="M9" i="9"/>
  <c r="F9" i="9"/>
  <c r="O8" i="9"/>
  <c r="N8" i="9"/>
  <c r="M8" i="9"/>
  <c r="F8" i="9"/>
  <c r="O7" i="9"/>
  <c r="N7" i="9"/>
  <c r="N42" i="9" s="1"/>
  <c r="M7" i="9"/>
  <c r="F7" i="9"/>
  <c r="G14" i="9"/>
  <c r="G22" i="9"/>
  <c r="G30" i="9"/>
  <c r="G9" i="9"/>
  <c r="G13" i="9"/>
  <c r="G17" i="9"/>
  <c r="G21" i="9"/>
  <c r="G27" i="9"/>
  <c r="G33" i="9"/>
  <c r="W14" i="21"/>
  <c r="I21" i="2"/>
  <c r="I14" i="2"/>
  <c r="I22" i="2"/>
  <c r="I28" i="2"/>
  <c r="I36" i="2"/>
  <c r="E49" i="64"/>
  <c r="K49" i="64"/>
  <c r="M49" i="64"/>
  <c r="O42" i="9"/>
  <c r="I10" i="2"/>
  <c r="I33" i="2"/>
  <c r="W17" i="21"/>
  <c r="I49" i="64"/>
  <c r="I6" i="2"/>
  <c r="G49" i="64"/>
  <c r="M59" i="80"/>
  <c r="R59" i="80"/>
  <c r="S59" i="80"/>
  <c r="T59" i="80"/>
  <c r="J59" i="80"/>
  <c r="K59" i="80"/>
  <c r="O59" i="80"/>
  <c r="P59" i="80"/>
  <c r="I17" i="2"/>
  <c r="Y26" i="81"/>
  <c r="X26" i="81" s="1"/>
  <c r="Y28" i="81"/>
  <c r="X28" i="81"/>
  <c r="Y30" i="81"/>
  <c r="X30" i="81"/>
  <c r="X9" i="81"/>
  <c r="AA24" i="81"/>
  <c r="X29" i="81" s="1"/>
  <c r="AA28" i="81"/>
  <c r="X20" i="81"/>
  <c r="X19" i="81"/>
  <c r="X18" i="81"/>
  <c r="X13" i="81"/>
  <c r="X17" i="81"/>
  <c r="X16" i="81"/>
  <c r="W9" i="83"/>
  <c r="W13" i="83"/>
  <c r="W17" i="83"/>
  <c r="W12" i="83"/>
  <c r="W16" i="83"/>
  <c r="A18" i="29"/>
  <c r="W8" i="83"/>
  <c r="W7" i="83"/>
  <c r="W18" i="83"/>
  <c r="W14" i="83"/>
  <c r="W10" i="83"/>
  <c r="W15" i="83"/>
  <c r="W11" i="83"/>
  <c r="W24" i="83"/>
  <c r="W20" i="83"/>
  <c r="W23" i="83"/>
  <c r="W19" i="83"/>
  <c r="W20" i="21"/>
  <c r="W7" i="21"/>
  <c r="W21" i="21"/>
  <c r="W19" i="21"/>
  <c r="G20" i="80"/>
  <c r="Y58" i="80"/>
  <c r="G23" i="80"/>
  <c r="G19" i="80"/>
  <c r="G14" i="80"/>
  <c r="G26" i="80"/>
  <c r="G27" i="80"/>
  <c r="G16" i="80"/>
  <c r="G25" i="80"/>
  <c r="G31" i="80"/>
  <c r="G28" i="80"/>
  <c r="G33" i="80"/>
  <c r="G41" i="80"/>
  <c r="G42" i="80"/>
  <c r="G44" i="80"/>
  <c r="G47" i="80"/>
  <c r="G46" i="80"/>
  <c r="G48" i="80"/>
  <c r="G38" i="80"/>
  <c r="G9" i="80"/>
  <c r="G11" i="80"/>
  <c r="G21" i="80"/>
  <c r="G17" i="80"/>
  <c r="G37" i="80"/>
  <c r="G54" i="80"/>
  <c r="G10" i="80"/>
  <c r="G22" i="80"/>
  <c r="G30" i="80"/>
  <c r="G49" i="80"/>
  <c r="G51" i="80"/>
  <c r="G55" i="80"/>
  <c r="G57" i="80"/>
  <c r="G8" i="80"/>
  <c r="X12" i="81"/>
  <c r="X14" i="81"/>
  <c r="X22" i="81"/>
  <c r="X15" i="81"/>
  <c r="X11" i="81"/>
  <c r="X10" i="81"/>
  <c r="W9" i="21"/>
  <c r="W11" i="21"/>
  <c r="W15" i="21"/>
  <c r="G28" i="9"/>
  <c r="G15" i="9"/>
  <c r="X58" i="80"/>
  <c r="G13" i="80"/>
  <c r="G12" i="80"/>
  <c r="G32" i="80"/>
  <c r="G36" i="80"/>
  <c r="A3" i="85"/>
  <c r="Y27" i="81"/>
  <c r="A3" i="83"/>
  <c r="A1" i="85"/>
  <c r="W22" i="21"/>
  <c r="W12" i="21"/>
  <c r="W8" i="21"/>
  <c r="G18" i="80"/>
  <c r="G29" i="80"/>
  <c r="G34" i="80"/>
  <c r="G50" i="80"/>
  <c r="G56" i="80"/>
  <c r="AA30" i="81"/>
  <c r="Y24" i="81"/>
  <c r="X44" i="81"/>
  <c r="X41" i="81"/>
  <c r="X42" i="81"/>
  <c r="X45" i="81"/>
  <c r="W23" i="21" l="1"/>
  <c r="W18" i="21"/>
  <c r="W16" i="21"/>
  <c r="W10" i="21"/>
  <c r="A21" i="29"/>
  <c r="A16" i="29"/>
  <c r="A8" i="29"/>
  <c r="A15" i="29"/>
  <c r="A11" i="29"/>
  <c r="A13" i="29"/>
  <c r="A22" i="29"/>
  <c r="A25" i="29"/>
  <c r="T29" i="29"/>
  <c r="A23" i="29"/>
  <c r="A14" i="29"/>
  <c r="A20" i="29"/>
  <c r="A26" i="29"/>
  <c r="G38" i="9"/>
  <c r="A19" i="29"/>
  <c r="A7" i="29"/>
  <c r="G24" i="80"/>
  <c r="A51" i="80" s="1"/>
  <c r="G52" i="80"/>
  <c r="A52" i="80" s="1"/>
  <c r="A27" i="29"/>
  <c r="A9" i="29"/>
  <c r="A11" i="80"/>
  <c r="A22" i="80"/>
  <c r="A39" i="80"/>
  <c r="A38" i="80"/>
  <c r="A43" i="80"/>
  <c r="A9" i="80"/>
  <c r="A32" i="80"/>
  <c r="A34" i="80"/>
  <c r="X31" i="81"/>
  <c r="A12" i="29"/>
  <c r="A10" i="29"/>
  <c r="A15" i="80"/>
  <c r="A54" i="80"/>
  <c r="A8" i="80"/>
  <c r="A40" i="80"/>
  <c r="A46" i="80"/>
  <c r="A28" i="29"/>
  <c r="A17" i="29"/>
  <c r="A24" i="29"/>
  <c r="G34" i="9"/>
  <c r="G20" i="9"/>
  <c r="G18" i="9"/>
  <c r="G12" i="9"/>
  <c r="A35" i="9" s="1"/>
  <c r="X37" i="81"/>
  <c r="A18" i="9" l="1"/>
  <c r="A34" i="9"/>
  <c r="A25" i="9"/>
  <c r="A31" i="9"/>
  <c r="A39" i="9"/>
  <c r="A13" i="9"/>
  <c r="A47" i="80"/>
  <c r="A30" i="80"/>
  <c r="A50" i="80"/>
  <c r="A26" i="9"/>
  <c r="A18" i="80"/>
  <c r="A42" i="80"/>
  <c r="A11" i="9"/>
  <c r="A15" i="9"/>
  <c r="A10" i="9"/>
  <c r="A37" i="9"/>
  <c r="A12" i="9"/>
  <c r="A27" i="9"/>
  <c r="A38" i="9"/>
  <c r="A9" i="9"/>
  <c r="A22" i="9"/>
  <c r="A16" i="9"/>
  <c r="A28" i="9"/>
  <c r="A7" i="9"/>
  <c r="A8" i="9"/>
  <c r="A33" i="9"/>
  <c r="A21" i="9"/>
  <c r="A23" i="9"/>
  <c r="A17" i="9"/>
  <c r="A19" i="9"/>
  <c r="A30" i="9"/>
  <c r="A20" i="9"/>
  <c r="A44" i="80"/>
  <c r="A45" i="80"/>
  <c r="A41" i="80"/>
  <c r="A28" i="80"/>
  <c r="A31" i="80"/>
  <c r="A21" i="80"/>
  <c r="A20" i="80"/>
  <c r="A49" i="80"/>
  <c r="A27" i="80"/>
  <c r="A16" i="80"/>
  <c r="A25" i="80"/>
  <c r="A33" i="80"/>
  <c r="A56" i="80"/>
  <c r="A14" i="80"/>
  <c r="A17" i="80"/>
  <c r="A29" i="80"/>
  <c r="A48" i="80"/>
  <c r="A55" i="80"/>
  <c r="A53" i="80"/>
  <c r="A24" i="80"/>
  <c r="A12" i="80"/>
  <c r="A23" i="80"/>
  <c r="A37" i="80"/>
  <c r="A13" i="80"/>
  <c r="A29" i="9"/>
  <c r="A36" i="9"/>
  <c r="A14" i="9"/>
  <c r="A19" i="80"/>
  <c r="A35" i="80"/>
  <c r="A57" i="80"/>
  <c r="A24" i="9"/>
  <c r="A32" i="9"/>
  <c r="A40" i="9"/>
  <c r="A26" i="80"/>
  <c r="A10" i="80"/>
  <c r="A36" i="80"/>
</calcChain>
</file>

<file path=xl/comments1.xml><?xml version="1.0" encoding="utf-8"?>
<comments xmlns="http://schemas.openxmlformats.org/spreadsheetml/2006/main">
  <authors>
    <author>Author</author>
  </authors>
  <commentList>
    <comment ref="I3" authorId="0">
      <text>
        <r>
          <rPr>
            <b/>
            <sz val="8"/>
            <color indexed="81"/>
            <rFont val="Tahoma"/>
            <family val="2"/>
            <charset val="186"/>
          </rPr>
          <t>Osalejate arv</t>
        </r>
      </text>
    </comment>
    <comment ref="F5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186"/>
          </rPr>
          <t>Kuna veteranidest  registreerus vaid 2 võistkonda, jääb juhendi kohaselt 1. ring ära. 
Kummalisel kombel pole aga EPKL lehel registreerunutest märkigi…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F21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F22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30" authorId="0">
      <text>
        <r>
          <rPr>
            <b/>
            <sz val="8"/>
            <color indexed="81"/>
            <rFont val="Tahoma"/>
            <family val="2"/>
            <charset val="186"/>
          </rPr>
          <t>Juunioridel 2 €
Eesti meistrivõistlustel osalemiseks peavad olema: 
 - petankeri litsents, 
 - võistluskuulid, 
 - meeskonnal ühtne võistlussärk.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H31" authorId="0">
      <text>
        <r>
          <rPr>
            <b/>
            <sz val="8"/>
            <color indexed="81"/>
            <rFont val="Tahoma"/>
            <family val="2"/>
            <charset val="186"/>
          </rPr>
          <t>Juunioridel 2 €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186"/>
          </rPr>
          <t>Mäetaguse mõisa vastas üle maantee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M5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5-liikmelised võistkonnad, kelle koosseisus on vähemalt 2 naist.
Iga kohtumine koosneb kahest mängust: trio ja duppel, mille koosseisu valik on vaba (M/N suhtes).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Tartu, Lossi 25 
Toomkiriku varemed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186"/>
          </rPr>
          <t>Esimesel etapil loositakse osalejad paaridesse. 
Järgnevatel etappidel loositakse 8-le reitingu paremale paariline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10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10" authorId="0">
      <text>
        <r>
          <rPr>
            <b/>
            <sz val="8"/>
            <color indexed="81"/>
            <rFont val="Tahoma"/>
            <family val="2"/>
            <charset val="186"/>
          </rPr>
          <t>Jüri, Laste 3
Jüri terviseradade alguses Kelgumäe taga
Petangiväljak asub staadionist paremalt poolt mööda, eemalt paistab kelgumägi. Liikuda kelgumäe suunas.</t>
        </r>
      </text>
    </comment>
    <comment ref="L10" authorId="0">
      <text>
        <r>
          <rPr>
            <b/>
            <sz val="8"/>
            <color indexed="81"/>
            <rFont val="Tahoma"/>
            <family val="2"/>
            <charset val="186"/>
          </rPr>
          <t>Fotod: 
Rae valla mängud 25.10.2015</t>
        </r>
      </text>
    </comment>
    <comment ref="M10" authorId="0">
      <text>
        <r>
          <rPr>
            <b/>
            <sz val="8"/>
            <color indexed="81"/>
            <rFont val="Tahoma"/>
            <family val="2"/>
            <charset val="186"/>
          </rPr>
          <t>Jüri, Laste 3
Jüri terviseradade alguses Kelgumäe taga
Petangiväljak asub staadionist paremalt poolt mööda, eemalt paistab kelgumägi. Liikuda kelgumäe suunas.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186"/>
          </rPr>
          <t>EM katsevõistlustele registreerimise tähtaeg (meeste ja naiste üksik, naiste trio, veteranid 55+, juuniorid)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15" authorId="0">
      <text>
        <r>
          <rPr>
            <b/>
            <sz val="8"/>
            <color indexed="81"/>
            <rFont val="Tahoma"/>
            <family val="2"/>
            <charset val="186"/>
          </rPr>
          <t>Kuna juunioridest registreerus vaid 1 võistkond, jäävad juhendi kohaselt juunioride katsevõistlused ära ja registreerunud võistkond saab automaatselt EM-ile.</t>
        </r>
      </text>
    </comment>
    <comment ref="M1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Kuna veteranidest  registreerus vaid 2 võistkonda, jääb juhendi kohaselt 1. ring ära. 
Kummalisel kombel pole aga EPKL lehel registreerunutest ega võistluse ärajäämisest märkigi…
</t>
        </r>
      </text>
    </comment>
    <comment ref="K16" authorId="0">
      <text>
        <r>
          <rPr>
            <b/>
            <sz val="8"/>
            <color indexed="81"/>
            <rFont val="Tahoma"/>
            <family val="2"/>
            <charset val="186"/>
          </rPr>
          <t>Tallinn, Algi 38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K19" authorId="0">
      <text>
        <r>
          <rPr>
            <b/>
            <sz val="8"/>
            <color indexed="81"/>
            <rFont val="Tahoma"/>
            <family val="2"/>
            <charset val="186"/>
          </rPr>
          <t>Tallinn, Mäekalda tn
Kadrioru pargi KUMU-poolses otsas suure purskkaevu juures</t>
        </r>
      </text>
    </comment>
    <comment ref="M19" authorId="0">
      <text>
        <r>
          <rPr>
            <b/>
            <sz val="8"/>
            <color indexed="81"/>
            <rFont val="Tahoma"/>
            <family val="2"/>
            <charset val="186"/>
          </rPr>
          <t>Saku, Teaduse 2
Teaduse 2 maja taga asuv hokiväljak, kruusakate
12 väljakut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22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22" authorId="0">
      <text>
        <r>
          <rPr>
            <b/>
            <sz val="8"/>
            <color indexed="81"/>
            <rFont val="Tahoma"/>
            <family val="2"/>
            <charset val="186"/>
          </rPr>
          <t>Valga, Pärna pst 17a 
nn “Tivoli väljak“
kell 11</t>
        </r>
      </text>
    </comment>
    <comment ref="M22" authorId="0">
      <text>
        <r>
          <rPr>
            <b/>
            <sz val="8"/>
            <color indexed="81"/>
            <rFont val="Tahoma"/>
            <family val="2"/>
            <charset val="186"/>
          </rPr>
          <t>Metsa ja Jõe tänava ristist keerata Pedeli jõe poole
kell 10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Meeste üksikmängu EM 
katsevõistlustele registreerimise pikendatud tähtaeg </t>
        </r>
      </text>
    </comment>
    <comment ref="K25" authorId="0">
      <text>
        <r>
          <rPr>
            <b/>
            <sz val="8"/>
            <color indexed="81"/>
            <rFont val="Tahoma"/>
            <family val="2"/>
            <charset val="186"/>
          </rPr>
          <t>Duo  ja trio vahetasid omavahel kohad</t>
        </r>
      </text>
    </comment>
    <comment ref="E2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26" authorId="0">
      <text>
        <r>
          <rPr>
            <b/>
            <sz val="8"/>
            <color indexed="81"/>
            <rFont val="Tahoma"/>
            <family val="2"/>
            <charset val="186"/>
          </rPr>
          <t>Viljandi, Järve tn 9</t>
        </r>
      </text>
    </comment>
    <comment ref="M26" authorId="0">
      <text>
        <r>
          <rPr>
            <b/>
            <sz val="8"/>
            <color indexed="81"/>
            <rFont val="Tahoma"/>
            <family val="2"/>
            <charset val="186"/>
          </rPr>
          <t>Viljandi, Järve tn 9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K29" authorId="0">
      <text>
        <r>
          <rPr>
            <b/>
            <sz val="8"/>
            <color indexed="81"/>
            <rFont val="Tahoma"/>
            <family val="2"/>
            <charset val="186"/>
          </rPr>
          <t>Jüri, Laste 3
Jüri terviseradade alguses Kelgumäe taga
Petangiväljak asub staadionist paremalt poolt mööda, eemalt paistab kelgumägi. Liikuda kelgumäe suunas.</t>
        </r>
      </text>
    </comment>
    <comment ref="M29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32" authorId="0">
      <text>
        <r>
          <rPr>
            <b/>
            <sz val="8"/>
            <color indexed="81"/>
            <rFont val="Tahoma"/>
            <family val="2"/>
            <charset val="186"/>
          </rPr>
          <t>Tallinn, Mäekalda tn
Kadrioru pargi KUMU-poolses otsas suure purskkaevu juures</t>
        </r>
      </text>
    </comment>
    <comment ref="M32" authorId="0">
      <text>
        <r>
          <rPr>
            <b/>
            <sz val="8"/>
            <color indexed="81"/>
            <rFont val="Tahoma"/>
            <family val="2"/>
            <charset val="186"/>
          </rPr>
          <t>Tallinn, Linnu teel Kotka jalgpallihalli territooriumil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K35" authorId="0">
      <text>
        <r>
          <rPr>
            <b/>
            <sz val="8"/>
            <color indexed="81"/>
            <rFont val="Tahoma"/>
            <family val="2"/>
            <charset val="186"/>
          </rPr>
          <t>Uuskalda, Kärbla küla, Lääne-Nigula vald, Läänemaa</t>
        </r>
      </text>
    </comment>
    <comment ref="M35" authorId="0">
      <text>
        <r>
          <rPr>
            <b/>
            <sz val="8"/>
            <color indexed="81"/>
            <rFont val="Tahoma"/>
            <family val="2"/>
            <charset val="186"/>
          </rPr>
          <t>Uuskalda, Kärbla küla, Lääne-Nigula vald, Läänemaa</t>
        </r>
      </text>
    </comment>
    <comment ref="K37" authorId="0">
      <text>
        <r>
          <rPr>
            <b/>
            <sz val="8"/>
            <color indexed="81"/>
            <rFont val="Tahoma"/>
            <family val="2"/>
            <charset val="186"/>
          </rPr>
          <t>Zaķumuiža staadion, Parka tänav, Zaķumuiža</t>
        </r>
      </text>
    </comment>
    <comment ref="E40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40" authorId="0">
      <text>
        <r>
          <rPr>
            <b/>
            <sz val="8"/>
            <color indexed="81"/>
            <rFont val="Tahoma"/>
            <family val="2"/>
            <charset val="186"/>
          </rPr>
          <t>Saku, Teaduse 2
Teaduse 2 maja taga asuv hokiväljak, kruusakate
12 väljakut</t>
        </r>
      </text>
    </comment>
    <comment ref="G43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E50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K50" authorId="0">
      <text>
        <r>
          <rPr>
            <b/>
            <sz val="8"/>
            <color indexed="81"/>
            <rFont val="Tahoma"/>
            <family val="2"/>
            <charset val="186"/>
          </rPr>
          <t>Metsa ja Jõe tänava ristist keerata Pedeli jõe poole</t>
        </r>
      </text>
    </comment>
    <comment ref="M50" authorId="0">
      <text>
        <r>
          <rPr>
            <b/>
            <sz val="8"/>
            <color indexed="81"/>
            <rFont val="Tahoma"/>
            <family val="2"/>
            <charset val="186"/>
          </rPr>
          <t>Metsa ja Jõe tänava ristist keerata Pedeli jõe poole</t>
        </r>
      </text>
    </comment>
    <comment ref="K53" authorId="0">
      <text>
        <r>
          <rPr>
            <b/>
            <sz val="8"/>
            <color indexed="81"/>
            <rFont val="Tahoma"/>
            <family val="2"/>
            <charset val="186"/>
          </rPr>
          <t>Kärdla, Nuutri 21 
Mängude maja</t>
        </r>
      </text>
    </comment>
    <comment ref="M53" authorId="0">
      <text>
        <r>
          <rPr>
            <b/>
            <sz val="8"/>
            <color indexed="81"/>
            <rFont val="Tahoma"/>
            <family val="2"/>
            <charset val="186"/>
          </rPr>
          <t>Kärdla, Nuutri 21 
Mängude maja</t>
        </r>
      </text>
    </comment>
    <comment ref="E56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56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K56" authorId="0">
      <text>
        <r>
          <rPr>
            <b/>
            <sz val="8"/>
            <color indexed="81"/>
            <rFont val="Tahoma"/>
            <family val="2"/>
            <charset val="186"/>
          </rPr>
          <t>Metsa ja Jõe tänava ristist keerata Pedeli jõe poole</t>
        </r>
      </text>
    </comment>
    <comment ref="M56" authorId="0">
      <text>
        <r>
          <rPr>
            <b/>
            <sz val="8"/>
            <color indexed="81"/>
            <rFont val="Tahoma"/>
            <family val="2"/>
            <charset val="186"/>
          </rPr>
          <t>Võistlus toimub Algi 38 ees parklas, vihma korral hallis sees.</t>
        </r>
      </text>
    </comment>
    <comment ref="K59" authorId="0">
      <text>
        <r>
          <rPr>
            <b/>
            <sz val="8"/>
            <color indexed="81"/>
            <rFont val="Tahoma"/>
            <family val="2"/>
            <charset val="186"/>
          </rPr>
          <t>Saku, Teaduse 2
Teaduse 2 maja taga asuv hokiväljak, kruusakate
12 väljakut</t>
        </r>
      </text>
    </comment>
    <comment ref="M59" authorId="0">
      <text>
        <r>
          <rPr>
            <b/>
            <sz val="8"/>
            <color indexed="81"/>
            <rFont val="Tahoma"/>
            <family val="2"/>
            <charset val="186"/>
          </rPr>
          <t>Jõhvi, 
Narva mnt 139b</t>
        </r>
      </text>
    </comment>
    <comment ref="K61" authorId="0">
      <text>
        <r>
          <rPr>
            <b/>
            <sz val="8"/>
            <color indexed="81"/>
            <rFont val="Tahoma"/>
            <family val="2"/>
            <charset val="186"/>
          </rPr>
          <t>4 Rue des Mines, 
4244 Esch-sur-Alzette, 
Luxembourg</t>
        </r>
      </text>
    </comment>
    <comment ref="E65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M65" authorId="0">
      <text>
        <r>
          <rPr>
            <b/>
            <sz val="8"/>
            <color indexed="81"/>
            <rFont val="Tahoma"/>
            <family val="2"/>
            <charset val="186"/>
          </rPr>
          <t>Uuskalda, Kärbla küla, Lääne-Nigula vald, Läänemaa</t>
        </r>
      </text>
    </comment>
    <comment ref="K66" authorId="0">
      <text>
        <r>
          <rPr>
            <b/>
            <sz val="8"/>
            <color indexed="81"/>
            <rFont val="Tahoma"/>
            <family val="2"/>
            <charset val="186"/>
          </rPr>
          <t>Eesti meistrivõistlustel osalemiseks peavad olema: 
 - petankeri litsents, 
 - võistluskuulid, 
 - meeskonnal ühtne võistlussärk.</t>
        </r>
      </text>
    </comment>
    <comment ref="G6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6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M6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E71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71" authorId="0">
      <text>
        <r>
          <rPr>
            <b/>
            <sz val="8"/>
            <color indexed="81"/>
            <rFont val="Tahoma"/>
            <family val="2"/>
            <charset val="186"/>
          </rPr>
          <t>Uuskalda, Kärbla küla, Lääne-Nigula vald, Läänemaa</t>
        </r>
      </text>
    </comment>
    <comment ref="M71" authorId="0">
      <text>
        <r>
          <rPr>
            <b/>
            <sz val="8"/>
            <color indexed="81"/>
            <rFont val="Tahoma"/>
            <family val="2"/>
            <charset val="186"/>
          </rPr>
          <t>Uuskalda, Kärbla küla, Lääne-Nigula vald, Läänemaa</t>
        </r>
      </text>
    </comment>
    <comment ref="L72" authorId="0">
      <text>
        <r>
          <rPr>
            <b/>
            <sz val="8"/>
            <color indexed="81"/>
            <rFont val="Tahoma"/>
            <family val="2"/>
            <charset val="186"/>
          </rPr>
          <t>Aastapäeva võistlus. 
Tänavu 25. novembril saab Eesti vanim  petangiklubi Võru SK Küti 25 aastaseks.</t>
        </r>
      </text>
    </comment>
    <comment ref="K73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 Võru, Roosi tn spordiväljak</t>
        </r>
      </text>
    </comment>
    <comment ref="K74" authorId="0">
      <text>
        <r>
          <rPr>
            <b/>
            <sz val="8"/>
            <color indexed="81"/>
            <rFont val="Tahoma"/>
            <family val="2"/>
            <charset val="186"/>
          </rPr>
          <t>Võistkondadel peab olema ühtne võistlussärk - soovitavalt klubi särk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186"/>
          </rPr>
          <t>Mäetaguse, Pargi 2
Mäetaguse Põhikooli staadion</t>
        </r>
      </text>
    </comment>
    <comment ref="G76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76" authorId="0">
      <text>
        <r>
          <rPr>
            <b/>
            <sz val="8"/>
            <color indexed="81"/>
            <rFont val="Tahoma"/>
            <family val="2"/>
            <charset val="186"/>
          </rPr>
          <t>Saku, Teaduse 2
Teaduse 2 maja taga asuv hokiväljak, kruusakate
12 väljakut</t>
        </r>
      </text>
    </comment>
    <comment ref="M76" authorId="0">
      <text>
        <r>
          <rPr>
            <b/>
            <sz val="8"/>
            <color indexed="81"/>
            <rFont val="Tahoma"/>
            <family val="2"/>
            <charset val="186"/>
          </rPr>
          <t>Saku, Teaduse 2
Teaduse 2 maja taga asuv hokiväljak, kruusakate
12 väljakut</t>
        </r>
      </text>
    </comment>
    <comment ref="K80" authorId="0">
      <text>
        <r>
          <rPr>
            <b/>
            <sz val="8"/>
            <color indexed="81"/>
            <rFont val="Tahoma"/>
            <family val="2"/>
            <charset val="186"/>
          </rPr>
          <t>Helsingi, Pasila petangihall
kell 10:30</t>
        </r>
      </text>
    </comment>
    <comment ref="E83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M83" authorId="0">
      <text>
        <r>
          <rPr>
            <b/>
            <sz val="8"/>
            <color indexed="81"/>
            <rFont val="Tahoma"/>
            <family val="2"/>
            <charset val="186"/>
          </rPr>
          <t>Kohtla-Nõmme, Jaama tn 
Kohtla Kaevanduspark</t>
        </r>
      </text>
    </comment>
    <comment ref="K85" authorId="0">
      <text>
        <r>
          <rPr>
            <b/>
            <sz val="8"/>
            <color indexed="81"/>
            <rFont val="Tahoma"/>
            <family val="2"/>
            <charset val="186"/>
          </rPr>
          <t>Toimub Bratislavas (Slovakkia), spordihallis Hant Arena</t>
        </r>
      </text>
    </comment>
    <comment ref="M87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E90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M90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K94" authorId="0">
      <text>
        <r>
          <rPr>
            <b/>
            <sz val="8"/>
            <color indexed="81"/>
            <rFont val="Tahoma"/>
            <family val="2"/>
            <charset val="186"/>
          </rPr>
          <t>Mäetaguse mõisa vastas üle maantee</t>
        </r>
      </text>
    </comment>
    <comment ref="M95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96" authorId="0">
      <text>
        <r>
          <rPr>
            <b/>
            <sz val="8"/>
            <color indexed="81"/>
            <rFont val="Tahoma"/>
            <family val="2"/>
            <charset val="186"/>
          </rPr>
          <t>Välishooaja lõputurniir</t>
        </r>
      </text>
    </comment>
    <comment ref="K97" authorId="0">
      <text>
        <r>
          <rPr>
            <b/>
            <sz val="8"/>
            <color indexed="81"/>
            <rFont val="Tahoma"/>
            <family val="2"/>
            <charset val="186"/>
          </rPr>
          <t>Saku, Teaduse 2</t>
        </r>
      </text>
    </comment>
    <comment ref="M102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E107" authorId="0">
      <text>
        <r>
          <rPr>
            <b/>
            <sz val="8"/>
            <color indexed="81"/>
            <rFont val="Tahoma"/>
            <family val="2"/>
            <charset val="186"/>
          </rPr>
          <t>Monaco, 
ZAC Saint-Antoine</t>
        </r>
      </text>
    </comment>
    <comment ref="K110" authorId="0">
      <text>
        <r>
          <rPr>
            <b/>
            <sz val="8"/>
            <color indexed="81"/>
            <rFont val="Tahoma"/>
            <family val="2"/>
            <charset val="186"/>
          </rPr>
          <t>Monaco, 
ZAC Saint-Antoine</t>
        </r>
      </text>
    </comment>
    <comment ref="K114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Rootsi, Halmstad, Gentoftevägen 1 - Ståhlhallen. 
</t>
        </r>
        <r>
          <rPr>
            <sz val="8"/>
            <color indexed="81"/>
            <rFont val="Tahoma"/>
            <family val="2"/>
            <charset val="186"/>
          </rPr>
          <t>Algselt pidi toimuma Prantsusmaal Nîmes, kuid prantslased ei saanud korraldamisega hakkama</t>
        </r>
      </text>
    </comment>
    <comment ref="K117" authorId="0">
      <text>
        <r>
          <rPr>
            <b/>
            <sz val="8"/>
            <color indexed="81"/>
            <rFont val="Tahoma"/>
            <family val="2"/>
            <charset val="186"/>
          </rPr>
          <t>Palais de sport et de la Culture Mahamasina, Rue Andriba, Antananarivo, Madagaskar</t>
        </r>
      </text>
    </comment>
    <comment ref="M117" authorId="0">
      <text>
        <r>
          <rPr>
            <b/>
            <sz val="8"/>
            <color indexed="81"/>
            <rFont val="Tahoma"/>
            <family val="2"/>
            <charset val="186"/>
          </rPr>
          <t>Toimumiskoht ja-aeg kinnitati 20.05.2016</t>
        </r>
      </text>
    </comment>
    <comment ref="K119" authorId="0">
      <text>
        <r>
          <rPr>
            <b/>
            <sz val="8"/>
            <color indexed="81"/>
            <rFont val="Tahoma"/>
            <family val="2"/>
            <charset val="186"/>
          </rPr>
          <t>Ålgårdsvägen 30, Borås, Rootsi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U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A7" authorId="0">
      <text>
        <r>
          <rPr>
            <b/>
            <sz val="8"/>
            <color indexed="81"/>
            <rFont val="Tahoma"/>
            <family val="2"/>
            <charset val="186"/>
          </rPr>
          <t>Valem arvutab punktisumma järgi võistleja koha. 
Võrdse punktisumma korral annab kõrgema koha võistlejale, kellel on rohkem 40-t, siis rohkem 34-a, 30-t jne.
Valem töötab Microsoft ja WPS Office-ga. 
Vahel ei tööta Libre ja Open Office-ga.</t>
        </r>
      </text>
    </comment>
    <comment ref="G7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Valem arvutab punktisumma ja võtab kehvemad tulemused maha.
Valem töötab Microsoft ja WPS Office-ga. 
Vahel ei tööta Libre ja Open Office-ga.
</t>
        </r>
      </text>
    </comment>
    <comment ref="K14" authorId="0">
      <text>
        <r>
          <rPr>
            <b/>
            <sz val="8"/>
            <color indexed="81"/>
            <rFont val="Tahoma"/>
            <family val="2"/>
            <charset val="186"/>
          </rPr>
          <t>Parandatud 23.05.2016
16 ja 20 punkti olid vahetuses</t>
        </r>
      </text>
    </comment>
    <comment ref="K20" authorId="0">
      <text>
        <r>
          <rPr>
            <b/>
            <sz val="8"/>
            <color indexed="81"/>
            <rFont val="Tahoma"/>
            <family val="2"/>
            <charset val="186"/>
          </rPr>
          <t>Parandatud 23.05.2016
16 ja 20 punkti olid vahetuses</t>
        </r>
      </text>
    </comment>
    <comment ref="K36" authorId="0">
      <text>
        <r>
          <rPr>
            <b/>
            <sz val="8"/>
            <color indexed="81"/>
            <rFont val="Tahoma"/>
            <family val="2"/>
            <charset val="186"/>
          </rPr>
          <t>Parandatud 23.05.2016
16 ja 20 punkti olid vahetuses</t>
        </r>
      </text>
    </comment>
    <comment ref="E37" authorId="0">
      <text>
        <r>
          <rPr>
            <b/>
            <sz val="8"/>
            <color indexed="81"/>
            <rFont val="Tahoma"/>
            <family val="2"/>
            <charset val="186"/>
          </rPr>
          <t>Aasta uustulnukas</t>
        </r>
      </text>
    </comment>
    <comment ref="K54" authorId="0">
      <text>
        <r>
          <rPr>
            <b/>
            <sz val="8"/>
            <color indexed="81"/>
            <rFont val="Tahoma"/>
            <family val="2"/>
            <charset val="186"/>
          </rPr>
          <t>Parandatud 23.05.2016
16 ja 20 punkti olid vahetuses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L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186"/>
          </rPr>
          <t>Valem arvutab punktisumma järgi võistleja koha. 
Võdrse punktisumma korral annab parema koha võistlejale, kellel on üksikmängus rohkem punkte.
Valem töötab Microsoft ja WPS Office-ga. 
Vahel ei tööta Libre ja Open Office-ga.</t>
        </r>
      </text>
    </comment>
    <comment ref="G6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Valem arvutab punktisumma ja võtab kehvemad tulemused maha.
Valem töötab Microsoft ja WPS Office-ga. 
Vahel ei tööta Libre ja Open Office-ga.
</t>
        </r>
      </text>
    </comment>
    <comment ref="K9" authorId="0">
      <text>
        <r>
          <rPr>
            <b/>
            <sz val="8"/>
            <color indexed="81"/>
            <rFont val="Tahoma"/>
            <family val="2"/>
            <charset val="186"/>
          </rPr>
          <t>Parandatud 08.09.2016. 
Siia oli ekslikult kirjutatud 26 punkti</t>
        </r>
      </text>
    </comment>
    <comment ref="K15" authorId="0">
      <text>
        <r>
          <rPr>
            <b/>
            <sz val="8"/>
            <color indexed="81"/>
            <rFont val="Tahoma"/>
            <family val="2"/>
            <charset val="186"/>
          </rPr>
          <t>Parandatud 23.05.2016
16 ja 20 punkti olid vahetuses</t>
        </r>
      </text>
    </comment>
    <comment ref="K22" authorId="0">
      <text>
        <r>
          <rPr>
            <b/>
            <sz val="8"/>
            <color indexed="81"/>
            <rFont val="Tahoma"/>
            <family val="2"/>
            <charset val="186"/>
          </rPr>
          <t>Parandatud 23.05.2016
16 ja 20 punkti olid vahetuses</t>
        </r>
      </text>
    </comment>
    <comment ref="K36" authorId="0">
      <text>
        <r>
          <rPr>
            <b/>
            <sz val="8"/>
            <color indexed="81"/>
            <rFont val="Tahoma"/>
            <family val="2"/>
            <charset val="186"/>
          </rPr>
          <t>Parandatud 23.05.2016
16 ja 20 punkti olid vahetuses</t>
        </r>
      </text>
    </comment>
    <comment ref="K37" authorId="0">
      <text>
        <r>
          <rPr>
            <b/>
            <sz val="8"/>
            <color indexed="81"/>
            <rFont val="Tahoma"/>
            <family val="2"/>
            <charset val="186"/>
          </rPr>
          <t>Parandatud 23.05.2016
16 ja 20 punkti olid vahetuses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D148" authorId="0">
      <text>
        <r>
          <rPr>
            <b/>
            <sz val="8"/>
            <color indexed="81"/>
            <rFont val="Tahoma"/>
            <family val="2"/>
            <charset val="186"/>
          </rPr>
          <t>Kuna Vello Vasser loobus, sai mängida Alina Andrejeva</t>
        </r>
      </text>
    </comment>
    <comment ref="J159" authorId="0">
      <text>
        <r>
          <rPr>
            <b/>
            <sz val="8"/>
            <color indexed="81"/>
            <rFont val="Tahoma"/>
            <family val="2"/>
            <charset val="186"/>
          </rPr>
          <t>Mängu ei toimunud, kuna eelmises voorus oli eksikombel Oleg Rõndenkovi asemel kirjas Sirje Viljaste. Seetõttu mängis Vladimir Ogneštšikov hoopis Sirje Viljastega.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W15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19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Y24" authorId="0">
      <text>
        <r>
          <rPr>
            <b/>
            <sz val="8"/>
            <color indexed="81"/>
            <rFont val="Tahoma"/>
            <family val="2"/>
            <charset val="186"/>
          </rPr>
          <t>kahe veerandfinalisti võitja punktidele lisab 100.
paariliste esimesed saavad kohe 100, et mittte edasisaanute RANK algaks 5-st kohast, mitte 2-st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Q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186"/>
          </rPr>
          <t>Valem arvutab punktisumma järgi võistleja koha. 
Võdrse punktisumma korral annab parema koha võistlejale, kellel on üksikmängus rohkem punkte.
Valem töötab Microsoft ja WPS Office-ga. 
Vahel ei tööta Libre ja Open Office-ga.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186"/>
          </rPr>
          <t>Kohalikud mängijad</t>
        </r>
      </text>
    </commen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Valem arvutab punktisumma ja võtab kehvemad tulemused maha.
Valem töötab Microsoft ja WPS Office-ga. 
Vahel ei tööta Libre ja Open Office-ga.
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Vajalik vaid siis kui võrdse punktisumma saanud mängijad pole osalenud üksikmängus</t>
        </r>
      </text>
    </comment>
  </commentList>
</comments>
</file>

<file path=xl/sharedStrings.xml><?xml version="1.0" encoding="utf-8"?>
<sst xmlns="http://schemas.openxmlformats.org/spreadsheetml/2006/main" count="4274" uniqueCount="648">
  <si>
    <t>Kuupäev</t>
  </si>
  <si>
    <t>Aeg</t>
  </si>
  <si>
    <t>Võistlus</t>
  </si>
  <si>
    <t>Mänguviis</t>
  </si>
  <si>
    <t>R</t>
  </si>
  <si>
    <t>Toimumiskoht</t>
  </si>
  <si>
    <t>Korraldaja</t>
  </si>
  <si>
    <t>T</t>
  </si>
  <si>
    <t>Osal</t>
  </si>
  <si>
    <t>11:00</t>
  </si>
  <si>
    <t>Välishooaja avavõistlus</t>
  </si>
  <si>
    <t>Üksik</t>
  </si>
  <si>
    <t>K-Järve SHK, Ivar Viljaste</t>
  </si>
  <si>
    <t>18:00</t>
  </si>
  <si>
    <t>Duo</t>
  </si>
  <si>
    <t>Johannes Neiland</t>
  </si>
  <si>
    <t>Trio</t>
  </si>
  <si>
    <t>Mäetaguse SK, Taavi Toomel</t>
  </si>
  <si>
    <t>10:00</t>
  </si>
  <si>
    <t>Hooaja lõpetamine (pliks-plaks)</t>
  </si>
  <si>
    <t xml:space="preserve"> </t>
  </si>
  <si>
    <t>Viimased muudatused on punasega</t>
  </si>
  <si>
    <t>Esmaspäev</t>
  </si>
  <si>
    <t>Teisipäev</t>
  </si>
  <si>
    <t>Kolmapäev</t>
  </si>
  <si>
    <t>Neljapäev</t>
  </si>
  <si>
    <t>Reede</t>
  </si>
  <si>
    <t>Laupäev</t>
  </si>
  <si>
    <t>Pühapäev</t>
  </si>
  <si>
    <t>TUL</t>
  </si>
  <si>
    <t>Punktid</t>
  </si>
  <si>
    <t>Kuld</t>
  </si>
  <si>
    <t>Hõbe</t>
  </si>
  <si>
    <t>Pronks</t>
  </si>
  <si>
    <t>Medaleid</t>
  </si>
  <si>
    <t>Võite</t>
  </si>
  <si>
    <t>N</t>
  </si>
  <si>
    <t>J</t>
  </si>
  <si>
    <t>Nimi</t>
  </si>
  <si>
    <t>K</t>
  </si>
  <si>
    <t>***</t>
  </si>
  <si>
    <t>**</t>
  </si>
  <si>
    <t>*</t>
  </si>
  <si>
    <t>Ivar Viljaste</t>
  </si>
  <si>
    <t>Aarne Välja</t>
  </si>
  <si>
    <t>Elmo Lageda</t>
  </si>
  <si>
    <t>Jaan Sepp</t>
  </si>
  <si>
    <t>Tõnu Piik</t>
  </si>
  <si>
    <t>Janek Tarto</t>
  </si>
  <si>
    <t>Ülo Piik</t>
  </si>
  <si>
    <t>Oskar Sepp</t>
  </si>
  <si>
    <t>Matti Vinni</t>
  </si>
  <si>
    <t>Kristo Viljaste</t>
  </si>
  <si>
    <t>Argo Sepp</t>
  </si>
  <si>
    <t>Andrei Grintšak</t>
  </si>
  <si>
    <t>Tõnu Kapper</t>
  </si>
  <si>
    <t>Karla Purgats</t>
  </si>
  <si>
    <t>Vladimir Ogneštšikov</t>
  </si>
  <si>
    <t>Kalle Orro</t>
  </si>
  <si>
    <t>Mait Metsla</t>
  </si>
  <si>
    <t>Emil Murzajev</t>
  </si>
  <si>
    <t>Aigi Orro</t>
  </si>
  <si>
    <t>Svetlana Sobolko</t>
  </si>
  <si>
    <t>Daniil Alekankin</t>
  </si>
  <si>
    <t>Sirje Viljaste</t>
  </si>
  <si>
    <t>Lemmit Toomra</t>
  </si>
  <si>
    <t>Hugo Müüdla</t>
  </si>
  <si>
    <t>Klavdia Piik</t>
  </si>
  <si>
    <t>Boriss Klubov</t>
  </si>
  <si>
    <t>Jaan Rooden</t>
  </si>
  <si>
    <t>Tõnis Anton</t>
  </si>
  <si>
    <t>Enno Konsa</t>
  </si>
  <si>
    <t>Tarmo Müür</t>
  </si>
  <si>
    <t>Vadim Tihhonjuk</t>
  </si>
  <si>
    <t>Osalejaid</t>
  </si>
  <si>
    <t>Võistkondi</t>
  </si>
  <si>
    <t xml:space="preserve">Rasvases trükis on aasta uustulnuka tiitli kandidaadid (mängijad, kes pole kolmel eelmisel </t>
  </si>
  <si>
    <t>aastal mahtunud reitingus 30 parema hulka)</t>
  </si>
  <si>
    <t>Kaldkirjas on teiste maakondade mängijad</t>
  </si>
  <si>
    <t>Tõnis Neiland</t>
  </si>
  <si>
    <t>Hillar Neiland</t>
  </si>
  <si>
    <t>Andres Veski</t>
  </si>
  <si>
    <t>Vello Vasser</t>
  </si>
  <si>
    <t>Artjom Kolkin</t>
  </si>
  <si>
    <t xml:space="preserve">Viktor Fjodorov </t>
  </si>
  <si>
    <t>Tanel Vähk</t>
  </si>
  <si>
    <t>Koht</t>
  </si>
  <si>
    <t>Kolme etapi tulemused liidetakse kokku</t>
  </si>
  <si>
    <t>Osalusi</t>
  </si>
  <si>
    <t>M</t>
  </si>
  <si>
    <t>IDA-VIRUMAA PETANGIKALENDER 2016</t>
  </si>
  <si>
    <t>EESTI JA IDA-VIRUMAA PETANGIKALENDER 2016</t>
  </si>
  <si>
    <t>IDA-VIRUMAA PETANGIREITING 2016</t>
  </si>
  <si>
    <t>Mai 2016</t>
  </si>
  <si>
    <t>Juuni 2016</t>
  </si>
  <si>
    <t>Juuli 2016</t>
  </si>
  <si>
    <t>August 2016</t>
  </si>
  <si>
    <t>September 2016</t>
  </si>
  <si>
    <t>Oktoober 2016</t>
  </si>
  <si>
    <t>Kokku</t>
  </si>
  <si>
    <t>Viike</t>
  </si>
  <si>
    <t xml:space="preserve">Kui kahel või enamal mängijal on võrdselt punkte, siis saab parema koha see, kellel on rohkem võite. </t>
  </si>
  <si>
    <t xml:space="preserve">Kui ka võitude arv on võrdne, siis vaadatakse nende mängijate omavaheliste mängude suhet. </t>
  </si>
  <si>
    <t>Võit - 2 punkti</t>
  </si>
  <si>
    <t>Viik - 1 punkt</t>
  </si>
  <si>
    <t>Kaotus - 0 punkti</t>
  </si>
  <si>
    <t>Detsember 2016</t>
  </si>
  <si>
    <t>November 2016</t>
  </si>
  <si>
    <t>T, 17.05.2016</t>
  </si>
  <si>
    <t>T, 14.06.2016</t>
  </si>
  <si>
    <t>T, 05.07.2016</t>
  </si>
  <si>
    <t>T, 23.08.2016</t>
  </si>
  <si>
    <t>L, 01.10.2016</t>
  </si>
  <si>
    <t>2. etapp, TRIO</t>
  </si>
  <si>
    <t>5. etapp, ÜKSIK</t>
  </si>
  <si>
    <t>Ida-Viru reitinguvõistlused on rasvases trükis</t>
  </si>
  <si>
    <t>P, 01.05.2016</t>
  </si>
  <si>
    <t>TRIO</t>
  </si>
  <si>
    <t>DUO</t>
  </si>
  <si>
    <t>SEGATRIO</t>
  </si>
  <si>
    <t>Vändra</t>
  </si>
  <si>
    <t>Türi</t>
  </si>
  <si>
    <t>SEGADUO</t>
  </si>
  <si>
    <t>val</t>
  </si>
  <si>
    <t>Jrk</t>
  </si>
  <si>
    <t>valem1</t>
  </si>
  <si>
    <t>valem2</t>
  </si>
  <si>
    <t>Kui kahel või enamal mängijal on võrdselt punkte, siis saab parema koha see, kes sai üksikmängus rohkem punkte.</t>
  </si>
  <si>
    <t xml:space="preserve">2016 aasta uustulnukaks ei saa kandideerida: </t>
  </si>
  <si>
    <t>DUO, TRIO</t>
  </si>
  <si>
    <t>6. U23 EM, TRIO</t>
  </si>
  <si>
    <t>19. EuroCup DUO, TRIO</t>
  </si>
  <si>
    <t>L, 13.08.2016</t>
  </si>
  <si>
    <t>P, 14.08.2016</t>
  </si>
  <si>
    <t>ÜKSIK</t>
  </si>
  <si>
    <t>maavõistlus, TRIO</t>
  </si>
  <si>
    <t xml:space="preserve">Kui kahel või enamal mängijal on võrdselt punkte, siis saab parema koha see, </t>
  </si>
  <si>
    <t>kes sai üksikmängus rohkem punkte.</t>
  </si>
  <si>
    <t>A</t>
  </si>
  <si>
    <t>N, 07.07.2016</t>
  </si>
  <si>
    <t>Jõhvi 16. MV</t>
  </si>
  <si>
    <t>LTK Üks-Teist, Tõnu Kapper</t>
  </si>
  <si>
    <t>N, 21.07.2016</t>
  </si>
  <si>
    <t>P, 31.07.2016</t>
  </si>
  <si>
    <t>Jõhvi 14. MV</t>
  </si>
  <si>
    <t>(pliks-plaks), ÜKSIK</t>
  </si>
  <si>
    <t>II</t>
  </si>
  <si>
    <t>-</t>
  </si>
  <si>
    <t>I koht</t>
  </si>
  <si>
    <t>II koht</t>
  </si>
  <si>
    <t>III koht</t>
  </si>
  <si>
    <t>4. koht</t>
  </si>
  <si>
    <t>5. koht</t>
  </si>
  <si>
    <t>6. koht</t>
  </si>
  <si>
    <t>7. koht</t>
  </si>
  <si>
    <t>8. koht</t>
  </si>
  <si>
    <t>9. koht</t>
  </si>
  <si>
    <t>10. koht</t>
  </si>
  <si>
    <t>11. koht</t>
  </si>
  <si>
    <t>12. koht</t>
  </si>
  <si>
    <t>13. koht</t>
  </si>
  <si>
    <t>14. koht</t>
  </si>
  <si>
    <t>15. koht</t>
  </si>
  <si>
    <t>16. koht</t>
  </si>
  <si>
    <t>17. koht</t>
  </si>
  <si>
    <t>18. koht</t>
  </si>
  <si>
    <t>P, 15.05.2016</t>
  </si>
  <si>
    <t>2. etapp, DUO</t>
  </si>
  <si>
    <t>1. etapp, TRIO</t>
  </si>
  <si>
    <t>3 etapp, ÜKSIK</t>
  </si>
  <si>
    <t>B</t>
  </si>
  <si>
    <t>Kõik mängud algasid seisult 1:1</t>
  </si>
  <si>
    <t>Plussring</t>
  </si>
  <si>
    <t>-Miinusringi võitja</t>
  </si>
  <si>
    <t>Miinusring</t>
  </si>
  <si>
    <t>AA</t>
  </si>
  <si>
    <t xml:space="preserve">4. </t>
  </si>
  <si>
    <t xml:space="preserve">III </t>
  </si>
  <si>
    <t xml:space="preserve">  ---&gt;  finaali</t>
  </si>
  <si>
    <t>BB</t>
  </si>
  <si>
    <t>5 - 6 koht</t>
  </si>
  <si>
    <t>7 - 8 koht</t>
  </si>
  <si>
    <t>9 - 12 koht</t>
  </si>
  <si>
    <t>13 - 16 koht</t>
  </si>
  <si>
    <t>C</t>
  </si>
  <si>
    <t>D</t>
  </si>
  <si>
    <t>17 - 18 koht</t>
  </si>
  <si>
    <t>Paremusjärjestus</t>
  </si>
  <si>
    <t>Kohalike paremusjärjestus:</t>
  </si>
  <si>
    <t>gud (35+), SEGATRIO</t>
  </si>
  <si>
    <t>Ida-Virumaa MV</t>
  </si>
  <si>
    <t>Toila vald, Johannes Neiland</t>
  </si>
  <si>
    <t>Šiauliai (Leedu)</t>
  </si>
  <si>
    <t>N, 05.05.2016</t>
  </si>
  <si>
    <t>N, 26.05.2016</t>
  </si>
  <si>
    <t>(15. muruturniir), ÜKSIK</t>
  </si>
  <si>
    <t>P, 12.06.2016</t>
  </si>
  <si>
    <t xml:space="preserve">Kui omavahel mängiti viiki, toimub nende vahel kordusmäng. </t>
  </si>
  <si>
    <t>P, 09.10.2016</t>
  </si>
  <si>
    <t>K, 04.05.2016</t>
  </si>
  <si>
    <t>Voka staadion</t>
  </si>
  <si>
    <t>K, 01.06.2016</t>
  </si>
  <si>
    <t>N, 09.06.2016</t>
  </si>
  <si>
    <t>N, 30.06.2016</t>
  </si>
  <si>
    <t>K, 03.08.2016</t>
  </si>
  <si>
    <t>K, 06.07.2016</t>
  </si>
  <si>
    <t>K, 20.07.2016</t>
  </si>
  <si>
    <t>K-Järve 15. MV</t>
  </si>
  <si>
    <t>N, 11.08.2016</t>
  </si>
  <si>
    <t>K, 17.08.2016</t>
  </si>
  <si>
    <t>K-Järve 17. MV</t>
  </si>
  <si>
    <t>N, 25.08.2016</t>
  </si>
  <si>
    <t>K, 07.09.2016</t>
  </si>
  <si>
    <t>K, 21.09.2016</t>
  </si>
  <si>
    <t>P, 11.09.2016</t>
  </si>
  <si>
    <t>Ivari karikas</t>
  </si>
  <si>
    <t>P, 18.09.2016</t>
  </si>
  <si>
    <t>K-Järve 15. KV 1. etapp</t>
  </si>
  <si>
    <t>K-Järve 15. KV 2. etapp</t>
  </si>
  <si>
    <t>K-Järve 15. KV 3. etapp</t>
  </si>
  <si>
    <t>25. Eesti MV</t>
  </si>
  <si>
    <t>P, 02.10.2016</t>
  </si>
  <si>
    <t>47. Meeste MM, TRIO, TUL</t>
  </si>
  <si>
    <t>Mäetaguse 7. KV 1. etapp</t>
  </si>
  <si>
    <t>Mäetaguse 7. KV 2. etapp</t>
  </si>
  <si>
    <t>Mäetaguse 7. KV 3. etapp</t>
  </si>
  <si>
    <t>Mäetaguse 7. KV 4. etapp</t>
  </si>
  <si>
    <t>Mäetaguse 7. KV 5. etapp</t>
  </si>
  <si>
    <t>MÄETAGUSE 7. KARIKAVÕISTLUSED 2016</t>
  </si>
  <si>
    <t>Antananarivo (Madagask.</t>
  </si>
  <si>
    <t>Borås (Rootsi)</t>
  </si>
  <si>
    <t>K, 25.05.2016</t>
  </si>
  <si>
    <t>12:00</t>
  </si>
  <si>
    <t>Maestro karikas, DUO</t>
  </si>
  <si>
    <t>finaal, TRIO</t>
  </si>
  <si>
    <t>V-K</t>
  </si>
  <si>
    <t>1. voor</t>
  </si>
  <si>
    <t>1-4</t>
  </si>
  <si>
    <t>2-3</t>
  </si>
  <si>
    <t>2. voor</t>
  </si>
  <si>
    <t>1-3</t>
  </si>
  <si>
    <t>2-4</t>
  </si>
  <si>
    <t>3. voor</t>
  </si>
  <si>
    <t>1-2</t>
  </si>
  <si>
    <t>3-4</t>
  </si>
  <si>
    <t>1 - 8 koht</t>
  </si>
  <si>
    <t>B1</t>
  </si>
  <si>
    <t>A1</t>
  </si>
  <si>
    <t>D1</t>
  </si>
  <si>
    <t>C1</t>
  </si>
  <si>
    <t>9 - 16 koht</t>
  </si>
  <si>
    <t>B2</t>
  </si>
  <si>
    <t>A2</t>
  </si>
  <si>
    <t>D2</t>
  </si>
  <si>
    <t>C2</t>
  </si>
  <si>
    <t>A3</t>
  </si>
  <si>
    <t>0-3</t>
  </si>
  <si>
    <t>3-0</t>
  </si>
  <si>
    <t>2-1</t>
  </si>
  <si>
    <t>I</t>
  </si>
  <si>
    <t>III</t>
  </si>
  <si>
    <t>IV</t>
  </si>
  <si>
    <t>+4</t>
  </si>
  <si>
    <t>-2</t>
  </si>
  <si>
    <t>B3</t>
  </si>
  <si>
    <t>B4</t>
  </si>
  <si>
    <t>C4</t>
  </si>
  <si>
    <t>C3</t>
  </si>
  <si>
    <t>D3</t>
  </si>
  <si>
    <t>D4</t>
  </si>
  <si>
    <t>19. EuroCup, DUO,TRIO</t>
  </si>
  <si>
    <t>A-puul</t>
  </si>
  <si>
    <t>1-4, 2-3</t>
  </si>
  <si>
    <t>Võitjad</t>
  </si>
  <si>
    <t>Kaotajad</t>
  </si>
  <si>
    <t>VK-KV</t>
  </si>
  <si>
    <t>B-puul</t>
  </si>
  <si>
    <t>Elmo Lageda, Tõnu Kapper, Vladimir Ogneštšikov</t>
  </si>
  <si>
    <t>1 - 4 koht</t>
  </si>
  <si>
    <t>5 - 8 koht</t>
  </si>
  <si>
    <t>A4</t>
  </si>
  <si>
    <t>Aigi Orro, Andres Viisitam, Kalle Orro</t>
  </si>
  <si>
    <t>Enno Konsa, Karla Purgats, Lemmit Toomra</t>
  </si>
  <si>
    <t>Mait Metsla, Matti Vinni, Tõnu Piik</t>
  </si>
  <si>
    <t>Aarne Välja, Jaan Sepp, Oskar Sepp</t>
  </si>
  <si>
    <t>Andrei Grintšak, Daniil Alekankin, Klavdia Piik</t>
  </si>
  <si>
    <t>Ivar Viljaste, Janek tarto, Sirje Viljaste</t>
  </si>
  <si>
    <t>Maksim Maksimov</t>
  </si>
  <si>
    <t>Andres Veski, Argo Sepp, Maksim Maksimov, Svetlana Sobolko</t>
  </si>
  <si>
    <t>Andres Viisitam</t>
  </si>
  <si>
    <t>EM katsevõistlused (55+)</t>
  </si>
  <si>
    <t>K-Järve</t>
  </si>
  <si>
    <t>(veteranid 55+), TRIO</t>
  </si>
  <si>
    <t>Finaalimängud algasid seisult 2:2</t>
  </si>
  <si>
    <t>Ivar Viljaste, Janek Tarto, Sirje Viljaste</t>
  </si>
  <si>
    <t>EPKL</t>
  </si>
  <si>
    <t>registr</t>
  </si>
  <si>
    <t>(mehed, naised), ÜKSIK</t>
  </si>
  <si>
    <t>Jaan Sepp, Oskar Sepp</t>
  </si>
  <si>
    <t>C-puul</t>
  </si>
  <si>
    <t>Aigi Orro, Kalle Orro</t>
  </si>
  <si>
    <t>Mait Metsla, Matti Vinni</t>
  </si>
  <si>
    <t>Elmo Lageda, Vladimir Ogneštšikov</t>
  </si>
  <si>
    <t>1 - 6 koht</t>
  </si>
  <si>
    <t>7 - 11 koht</t>
  </si>
  <si>
    <t>Andrei Grintšak, Emil Murzajev</t>
  </si>
  <si>
    <t>Karla Purgats, Lemmit Toomra</t>
  </si>
  <si>
    <t>Tõnu Piik, Ülo Piik</t>
  </si>
  <si>
    <t>Aarne Välja, Janek Tarto</t>
  </si>
  <si>
    <t>Klavdia Piik, Tõnu Kapper</t>
  </si>
  <si>
    <t>Ivar Viljaste, Kristo Viljaste</t>
  </si>
  <si>
    <t>Raul Mõtus, Vello Vasser</t>
  </si>
  <si>
    <t>Raul Mõtus</t>
  </si>
  <si>
    <t xml:space="preserve">  </t>
  </si>
  <si>
    <t>1-6</t>
  </si>
  <si>
    <t>2-5</t>
  </si>
  <si>
    <t>1-5</t>
  </si>
  <si>
    <t>3-6</t>
  </si>
  <si>
    <t>5-6</t>
  </si>
  <si>
    <t>4. voor</t>
  </si>
  <si>
    <t>2-6</t>
  </si>
  <si>
    <t>4-5</t>
  </si>
  <si>
    <t>5. voor</t>
  </si>
  <si>
    <t>3-5</t>
  </si>
  <si>
    <t>4-6</t>
  </si>
  <si>
    <t>Tõnu Kapper, Tõnu Piik</t>
  </si>
  <si>
    <t>Aarne Välja, Mait Metsla</t>
  </si>
  <si>
    <t>Klavdia Piik, Ülo Piik</t>
  </si>
  <si>
    <t>V</t>
  </si>
  <si>
    <t>VI</t>
  </si>
  <si>
    <t>4-1</t>
  </si>
  <si>
    <t>3-2</t>
  </si>
  <si>
    <t>0-5</t>
  </si>
  <si>
    <t>2-0</t>
  </si>
  <si>
    <t>0-2</t>
  </si>
  <si>
    <t>1-1</t>
  </si>
  <si>
    <t>2. koht</t>
  </si>
  <si>
    <t>3. koht</t>
  </si>
  <si>
    <t>Omavaheliste võitude/kaotuste lugemine</t>
  </si>
  <si>
    <t>Svetlana Veski</t>
  </si>
  <si>
    <t>(mehed), ÜKSIK</t>
  </si>
  <si>
    <t>KOHTLA-JÄRVE 15. KARIKAVÕISTLUSED 2016</t>
  </si>
  <si>
    <t>Omavaheliste võitude/kaotuste ja punktide lugemine</t>
  </si>
  <si>
    <t>Jüri Mironjuk</t>
  </si>
  <si>
    <t>Meelis Luud</t>
  </si>
  <si>
    <t>Tarmo Bombe</t>
  </si>
  <si>
    <t>Illar Tõnurist</t>
  </si>
  <si>
    <t>Enn Tokman</t>
  </si>
  <si>
    <t>Oleg Rõndenkov, Toomas Tedrekull</t>
  </si>
  <si>
    <t>Oleg Rõndenkov</t>
  </si>
  <si>
    <t>Toomas Tedrekull</t>
  </si>
  <si>
    <t>Romek Tarto</t>
  </si>
  <si>
    <t>Elmo Lageda, Tõnu Piik</t>
  </si>
  <si>
    <t>Illar Tõnurist, Johannes Neiland</t>
  </si>
  <si>
    <t>Janek Tarto, Romek Tarto</t>
  </si>
  <si>
    <t>Andrei Grintšak, Klavdia Piik</t>
  </si>
  <si>
    <t>Enn Tokman, Illar Tõnurist</t>
  </si>
  <si>
    <t>Johannes Neiland, Vladimir Ogneštšikov</t>
  </si>
  <si>
    <t>Jüri Mironjuk, Meelis Luud</t>
  </si>
  <si>
    <t>Janek Tarto, Tõnis Anton</t>
  </si>
  <si>
    <t>Andrei Grintšak, Daniil Alekankin</t>
  </si>
  <si>
    <t>Enn Tokman, Tarmo Bombe</t>
  </si>
  <si>
    <t>12:13</t>
  </si>
  <si>
    <t>3+1</t>
  </si>
  <si>
    <t>Lisamäng</t>
  </si>
  <si>
    <t>edasi</t>
  </si>
  <si>
    <t>E-puul</t>
  </si>
  <si>
    <t>F-puul</t>
  </si>
  <si>
    <t>G-puul</t>
  </si>
  <si>
    <t>D-puul</t>
  </si>
  <si>
    <t>H-puul</t>
  </si>
  <si>
    <t>H2</t>
  </si>
  <si>
    <t>G2</t>
  </si>
  <si>
    <t>F2</t>
  </si>
  <si>
    <t>E2</t>
  </si>
  <si>
    <t>E1</t>
  </si>
  <si>
    <t>F1</t>
  </si>
  <si>
    <t>G1</t>
  </si>
  <si>
    <t>H1</t>
  </si>
  <si>
    <t>E3</t>
  </si>
  <si>
    <t>F3</t>
  </si>
  <si>
    <t>G3</t>
  </si>
  <si>
    <t>H3</t>
  </si>
  <si>
    <t>19. koht</t>
  </si>
  <si>
    <t>20. koht</t>
  </si>
  <si>
    <t>21. koht</t>
  </si>
  <si>
    <t>22. koht</t>
  </si>
  <si>
    <t>23. koht</t>
  </si>
  <si>
    <t>24. koht</t>
  </si>
  <si>
    <t>25. koht</t>
  </si>
  <si>
    <t>17 - 25 koht</t>
  </si>
  <si>
    <t>Martin Rooden</t>
  </si>
  <si>
    <t>Marko Rooden</t>
  </si>
  <si>
    <t>(läks ära)</t>
  </si>
  <si>
    <t>TRIO (põhiklass, naised)</t>
  </si>
  <si>
    <t>Hansaturniir, TRIO</t>
  </si>
  <si>
    <t>DUO (kell 17:00)</t>
  </si>
  <si>
    <t>Argo Sepp, Tõnu Piik, Ülo Piik</t>
  </si>
  <si>
    <t>Andrei Grintšak, Daniil Alekankin, Emil Murzajev</t>
  </si>
  <si>
    <t>Jaan Rooden, Mait Metsla, Matti Vinni</t>
  </si>
  <si>
    <t>Aigi Orro, Andres Veski, Svetlana Veski</t>
  </si>
  <si>
    <t>Vitali Makrušin</t>
  </si>
  <si>
    <t>Grigori Tipukin</t>
  </si>
  <si>
    <t>7 - 9 koht</t>
  </si>
  <si>
    <t>Mängud toimusid ajalimiidiga 45 minutit</t>
  </si>
  <si>
    <t>Grigori Tipuhin, Tõnis Anton, Vitali Makrušin</t>
  </si>
  <si>
    <t>kondl.MV(35+),ÜKSIK</t>
  </si>
  <si>
    <t>K, 22.06.2016</t>
  </si>
  <si>
    <t>mängud, SEGATRIO</t>
  </si>
  <si>
    <t>Andres Veski, Mait Metsla, Svetlana Veski</t>
  </si>
  <si>
    <t>Elmo Lageda, Boriss Klubov, Tõnu Kapper</t>
  </si>
  <si>
    <t>Eenok Sepp, Jaan Sepp, Oskar Sepp</t>
  </si>
  <si>
    <t>2-2</t>
  </si>
  <si>
    <t>3-1</t>
  </si>
  <si>
    <t>Eenok Sepp</t>
  </si>
  <si>
    <t>valem3</t>
  </si>
  <si>
    <t>Alina Andrejeva</t>
  </si>
  <si>
    <t>Vahevoor</t>
  </si>
  <si>
    <t>VV</t>
  </si>
  <si>
    <t xml:space="preserve"> lahkus -&gt; 25.</t>
  </si>
  <si>
    <t>VK</t>
  </si>
  <si>
    <t>VK / D3</t>
  </si>
  <si>
    <t>VV / B3</t>
  </si>
  <si>
    <t>Alina Andrejeva (Venemaa)</t>
  </si>
  <si>
    <t>KOHT</t>
  </si>
  <si>
    <t>KOKKU</t>
  </si>
  <si>
    <t>Boriss Klubov, Tõnu Kapper</t>
  </si>
  <si>
    <t>Andres Veski, Svetlana Veski</t>
  </si>
  <si>
    <t>Alina Andrejeva, Emil Murzajev</t>
  </si>
  <si>
    <t>+1</t>
  </si>
  <si>
    <t>+10</t>
  </si>
  <si>
    <t>-11</t>
  </si>
  <si>
    <r>
      <rPr>
        <sz val="10"/>
        <color theme="1"/>
        <rFont val="Arial"/>
        <family val="2"/>
        <charset val="186"/>
      </rPr>
      <t>MM ja EuroCup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8"/>
        <color indexed="10"/>
        <rFont val="Arial"/>
        <family val="2"/>
        <charset val="186"/>
      </rPr>
      <t>↕</t>
    </r>
    <r>
      <rPr>
        <sz val="10"/>
        <color indexed="10"/>
        <rFont val="Arial"/>
        <family val="2"/>
        <charset val="186"/>
      </rPr>
      <t xml:space="preserve">
</t>
    </r>
    <r>
      <rPr>
        <sz val="10"/>
        <color theme="1"/>
        <rFont val="Arial"/>
        <family val="2"/>
        <charset val="186"/>
      </rPr>
      <t>vahetasid kohad</t>
    </r>
  </si>
  <si>
    <t>19.EuroCup,DUO,TRIO</t>
  </si>
  <si>
    <t>Antananarivo(Madagaskar)</t>
  </si>
  <si>
    <t>Kõik mängud toimusid ajalimiidiga 40 minutit + üks snadivise. Viigi korral veel 1 snadivise.</t>
  </si>
  <si>
    <t>Kõik mängud toimusid ajalimiidiga 50 minutit + üks snadivise. Viigi korral veel 1 snadivise.</t>
  </si>
  <si>
    <t>Puulimängud toimusid ajalimiidiga 40 minutit + üks snadivise. Viigi korral veel 1 snadivise.</t>
  </si>
  <si>
    <t>Ivar Viljaste, Kristo Viljaste, Sirje Viljaste</t>
  </si>
  <si>
    <t>Johannes Neiland, Meelis Luud</t>
  </si>
  <si>
    <t>läksid ära</t>
  </si>
  <si>
    <t>Boriss Klubov, Mait Metsla, Matti Vinni</t>
  </si>
  <si>
    <t>Argo Sepp, Kalle Orro, Tõnu Piik</t>
  </si>
  <si>
    <t>Andres Veski, Maksim Dvornik, Svetlana Veski</t>
  </si>
  <si>
    <t>Johannes Neiland, Oleg Rõndenkov, Toomas Tedrekull</t>
  </si>
  <si>
    <t>Maksim Dvornik</t>
  </si>
  <si>
    <t>Mängud puulides toimusid ajalimiidiga 45 minutit</t>
  </si>
  <si>
    <t>K-Nõmme, Eesti Kaevandusmuuseum</t>
  </si>
  <si>
    <t>Kvalifikatsioon. Luxembourg</t>
  </si>
  <si>
    <t>Kvalif. Luxembourg</t>
  </si>
  <si>
    <t>13 - 19 koht</t>
  </si>
  <si>
    <t>Rene Kundla</t>
  </si>
  <si>
    <t>Oksana Sažina</t>
  </si>
  <si>
    <t>Oleg Kurotškin</t>
  </si>
  <si>
    <t>Aleksander Nemiro</t>
  </si>
  <si>
    <t>Vitali Lantov (Narva)</t>
  </si>
  <si>
    <t>Sergei Stalmakov</t>
  </si>
  <si>
    <t>Väino Aul</t>
  </si>
  <si>
    <t>Ringo Krilovs</t>
  </si>
  <si>
    <t>Urmas Randlainen</t>
  </si>
  <si>
    <t>Rainer Schmidt</t>
  </si>
  <si>
    <t>Erki Rego</t>
  </si>
  <si>
    <t>Aleksander Semenštšenko (Narva)</t>
  </si>
  <si>
    <t>Alina Andrejeva, Daniil Alekankin</t>
  </si>
  <si>
    <t>Johannes Neiland, Ülo Piik</t>
  </si>
  <si>
    <t>Janek Tarto, Meelis Luud</t>
  </si>
  <si>
    <t>Oksana Sažina, Väino Aul</t>
  </si>
  <si>
    <t>Oksana Sažina, Vladimir Ogneštšikov</t>
  </si>
  <si>
    <t>Rene Kundla, Vladimir Ogneštšikov</t>
  </si>
  <si>
    <t>Aleksander Semenštšenko, Oleg Kurotškin</t>
  </si>
  <si>
    <t>Sergei Stalmakov, Vitali Lantov</t>
  </si>
  <si>
    <t>Boriss Klubov, Johannes Neiland</t>
  </si>
  <si>
    <t>Ringo Krilovs, Väino Aul</t>
  </si>
  <si>
    <t>Illar Tõnurist, Vladimir Ogneštšikov</t>
  </si>
  <si>
    <t>Rainer Schmidt, Urmas Randlainen</t>
  </si>
  <si>
    <t>Johannes Neiland, Väino Aul</t>
  </si>
  <si>
    <t>Erki Rego, Meelis Luud</t>
  </si>
  <si>
    <t>10:30</t>
  </si>
  <si>
    <t>Kõik mängud toimusid ajalimiidiga 50 minutit</t>
  </si>
  <si>
    <t>Argo Sepp, Kalle Orro, Tõnu Piik, Ülo Piik</t>
  </si>
  <si>
    <t>Boriss Klubov, Elmo Lageda, Tõnu Kapper</t>
  </si>
  <si>
    <t>Andres Veski, Svetlana Veski, Tõnis Anton</t>
  </si>
  <si>
    <t>Mait Metsla, Matti Vinni, Vello Vasser</t>
  </si>
  <si>
    <t>Aleksandr Tipakov, Ljudmila Varendi, Viktor Švarõgin</t>
  </si>
  <si>
    <t>Johannes Neiland, Tõnu Piik</t>
  </si>
  <si>
    <t>Johannes Neiland, Karla Purgats</t>
  </si>
  <si>
    <t>Boriss Klubov, Janek Tarto</t>
  </si>
  <si>
    <t>Jaan Saar</t>
  </si>
  <si>
    <t>Illar Tõnurist, Jaan Saar</t>
  </si>
  <si>
    <t>Argo Sepp, Jaan Sepp</t>
  </si>
  <si>
    <t>Andrei Grintšak, Oksana Sažina</t>
  </si>
  <si>
    <r>
      <t xml:space="preserve">Argo Sepp, Kalle Orro, Tõnu Piik, </t>
    </r>
    <r>
      <rPr>
        <sz val="10"/>
        <color indexed="55"/>
        <rFont val="Arial"/>
        <family val="2"/>
        <charset val="186"/>
      </rPr>
      <t>Ülo Piik</t>
    </r>
  </si>
  <si>
    <r>
      <rPr>
        <sz val="10"/>
        <color indexed="55"/>
        <rFont val="Arial"/>
        <family val="2"/>
        <charset val="186"/>
      </rPr>
      <t>Argo Sepp</t>
    </r>
    <r>
      <rPr>
        <sz val="10"/>
        <color indexed="8"/>
        <rFont val="Arial"/>
        <family val="2"/>
        <charset val="186"/>
      </rPr>
      <t>, Kalle Orro, Tõnu Piik, Ülo Piik</t>
    </r>
  </si>
  <si>
    <t>Viktor Švarõgin (Narva)</t>
  </si>
  <si>
    <t>Ljudmila Varendi (Narva)</t>
  </si>
  <si>
    <t>Aleksandr Tipakov (Narva)</t>
  </si>
  <si>
    <t>Aarne Välja, Argo Sepp, Jaan Sepp, Oskar Sepp</t>
  </si>
  <si>
    <t>Alina Andrejeva, Andrei Grintšak, Daniil Alekankin</t>
  </si>
  <si>
    <t>Andres Veski, Anna Romanenko, Svetlana Veski</t>
  </si>
  <si>
    <t>Mait Metsla, Tõnu Piik, Ülo Piik</t>
  </si>
  <si>
    <t>0-4</t>
  </si>
  <si>
    <t>-6</t>
  </si>
  <si>
    <t>+6</t>
  </si>
  <si>
    <t>1. koht</t>
  </si>
  <si>
    <t>Anna Romanenko</t>
  </si>
  <si>
    <t>Mängud puulides toimusid ajalimiidiga 50 minutit</t>
  </si>
  <si>
    <t>Andrei Grintšak, Boriss Klubov</t>
  </si>
  <si>
    <t>Elmo Lageda, Tõnu Kapper</t>
  </si>
  <si>
    <t>Voka karikavõistlused on rohelise taustaga. Kõik 10 etappi on paarismängud, millele järgneb 02.10 finaal üksikmängus</t>
  </si>
  <si>
    <t>Mäetaguse karikavõistlused on punase taustaga. Arvesse läheb 3 võistlust 5st (üksikmäng + duo + trio)</t>
  </si>
  <si>
    <t>Arvesse läheb 9 võistlust 13st (3 üksikmängu (sh tulistamine) 5st + 3 duot 4st  + 3 triot 4st)</t>
  </si>
  <si>
    <t>Arvesse läheb 3 võistlust 5st (üksikmäng + duo + trio)</t>
  </si>
  <si>
    <t>Jaan Sepp, Urmas Jõeäär</t>
  </si>
  <si>
    <t>Illar Tõnurist, Tarmo Bombe</t>
  </si>
  <si>
    <t>-3</t>
  </si>
  <si>
    <t>+5</t>
  </si>
  <si>
    <t>Urmas Jõeäär</t>
  </si>
  <si>
    <t>-7</t>
  </si>
  <si>
    <t>+2</t>
  </si>
  <si>
    <t>IX</t>
  </si>
  <si>
    <t>VIII</t>
  </si>
  <si>
    <t>X</t>
  </si>
  <si>
    <t>1-0</t>
  </si>
  <si>
    <t>0-1</t>
  </si>
  <si>
    <t>0</t>
  </si>
  <si>
    <t>VII</t>
  </si>
  <si>
    <t>1 võit ilma mänguta</t>
  </si>
  <si>
    <r>
      <t>8:</t>
    </r>
    <r>
      <rPr>
        <b/>
        <sz val="10"/>
        <color indexed="8"/>
        <rFont val="Arial"/>
        <family val="2"/>
        <charset val="186"/>
      </rPr>
      <t>13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</si>
  <si>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:11</t>
    </r>
  </si>
  <si>
    <r>
      <t>3:</t>
    </r>
    <r>
      <rPr>
        <b/>
        <sz val="10"/>
        <color indexed="8"/>
        <rFont val="Arial"/>
        <family val="2"/>
        <charset val="186"/>
      </rPr>
      <t>13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</si>
  <si>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:12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</si>
  <si>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:6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</si>
  <si>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:1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</si>
  <si>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:5</t>
    </r>
  </si>
  <si>
    <r>
      <t>5:</t>
    </r>
    <r>
      <rPr>
        <b/>
        <sz val="10"/>
        <color indexed="8"/>
        <rFont val="Arial"/>
        <family val="2"/>
        <charset val="186"/>
      </rPr>
      <t>13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</si>
  <si>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:2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</si>
  <si>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:3</t>
    </r>
  </si>
  <si>
    <r>
      <t>7:</t>
    </r>
    <r>
      <rPr>
        <b/>
        <sz val="10"/>
        <color indexed="8"/>
        <rFont val="Arial"/>
        <family val="2"/>
        <charset val="186"/>
      </rPr>
      <t>13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</si>
  <si>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:8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</si>
  <si>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:4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</si>
  <si>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:10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</si>
  <si>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:9</t>
    </r>
  </si>
  <si>
    <r>
      <t>12:</t>
    </r>
    <r>
      <rPr>
        <b/>
        <sz val="10"/>
        <color indexed="8"/>
        <rFont val="Arial"/>
        <family val="2"/>
        <charset val="186"/>
      </rPr>
      <t>13</t>
    </r>
  </si>
  <si>
    <r>
      <t>10:</t>
    </r>
    <r>
      <rPr>
        <b/>
        <sz val="10"/>
        <color indexed="8"/>
        <rFont val="Arial"/>
        <family val="2"/>
        <charset val="186"/>
      </rPr>
      <t>13</t>
    </r>
  </si>
  <si>
    <r>
      <t>1:</t>
    </r>
    <r>
      <rPr>
        <b/>
        <sz val="10"/>
        <color indexed="8"/>
        <rFont val="Arial"/>
        <family val="2"/>
        <charset val="186"/>
      </rPr>
      <t>13</t>
    </r>
  </si>
  <si>
    <r>
      <t>2:</t>
    </r>
    <r>
      <rPr>
        <b/>
        <sz val="10"/>
        <color indexed="8"/>
        <rFont val="Arial"/>
        <family val="2"/>
        <charset val="186"/>
      </rPr>
      <t>13</t>
    </r>
  </si>
  <si>
    <r>
      <t>9:</t>
    </r>
    <r>
      <rPr>
        <b/>
        <sz val="10"/>
        <color indexed="8"/>
        <rFont val="Arial"/>
        <family val="2"/>
        <charset val="186"/>
      </rPr>
      <t>13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</si>
  <si>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:7</t>
    </r>
  </si>
  <si>
    <r>
      <t>4:</t>
    </r>
    <r>
      <rPr>
        <b/>
        <sz val="10"/>
        <color indexed="8"/>
        <rFont val="Arial"/>
        <family val="2"/>
        <charset val="186"/>
      </rPr>
      <t>13</t>
    </r>
  </si>
  <si>
    <r>
      <t>6:</t>
    </r>
    <r>
      <rPr>
        <b/>
        <sz val="10"/>
        <color indexed="8"/>
        <rFont val="Arial"/>
        <family val="2"/>
        <charset val="186"/>
      </rPr>
      <t>13</t>
    </r>
  </si>
  <si>
    <r>
      <rPr>
        <b/>
        <sz val="10"/>
        <color indexed="8"/>
        <rFont val="Arial"/>
        <family val="2"/>
        <charset val="186"/>
      </rPr>
      <t>13</t>
    </r>
    <r>
      <rPr>
        <sz val="10"/>
        <color indexed="8"/>
        <rFont val="Arial"/>
        <family val="2"/>
        <charset val="186"/>
      </rPr>
      <t>:0</t>
    </r>
  </si>
  <si>
    <r>
      <t>11:</t>
    </r>
    <r>
      <rPr>
        <b/>
        <sz val="10"/>
        <color indexed="8"/>
        <rFont val="Arial"/>
        <family val="2"/>
        <charset val="186"/>
      </rPr>
      <t>13</t>
    </r>
  </si>
  <si>
    <t>Andrei Grintšak, Tõnis Anton</t>
  </si>
  <si>
    <t>Boriss Klubov, Ivar Viljaste</t>
  </si>
  <si>
    <t>Daniil Alekankin, Emil Murzajev</t>
  </si>
  <si>
    <t>Ljudmila Varendi, Viktor Švarõgin</t>
  </si>
  <si>
    <t>EELVOOR</t>
  </si>
  <si>
    <t>VEERANDFINAALID</t>
  </si>
  <si>
    <t>min</t>
  </si>
  <si>
    <t>max</t>
  </si>
  <si>
    <t>POOLFINAALID</t>
  </si>
  <si>
    <t>PRONKSIMÄNG</t>
  </si>
  <si>
    <t>FINAAL</t>
  </si>
  <si>
    <t>edasi 4</t>
  </si>
  <si>
    <t>edasi 3</t>
  </si>
  <si>
    <t>Tulistamine</t>
  </si>
  <si>
    <t>Janek Tarto, Oksana Sažina</t>
  </si>
  <si>
    <t>Meelis Luud, Vladimir Ogneštšikov</t>
  </si>
  <si>
    <t>Illar Tõnurist, Väino Aul</t>
  </si>
  <si>
    <t>Seisuga 22.09.2016</t>
  </si>
  <si>
    <t>P, 25.09.2016</t>
  </si>
  <si>
    <t>Viktor Švarõgin</t>
  </si>
  <si>
    <t>?</t>
  </si>
  <si>
    <t>Ljudmila Varendi</t>
  </si>
  <si>
    <t>13 - 18 koht</t>
  </si>
  <si>
    <t>Voka karikas 1</t>
  </si>
  <si>
    <t>Voka karikas 2</t>
  </si>
  <si>
    <t>Voka karikas 3</t>
  </si>
  <si>
    <t>Voka karikas 4</t>
  </si>
  <si>
    <t>Voka karikas 5</t>
  </si>
  <si>
    <t>Voka karikas 6</t>
  </si>
  <si>
    <t>Voka karikas 7</t>
  </si>
  <si>
    <t>Voka karikas 8</t>
  </si>
  <si>
    <t>Voka karikas 9</t>
  </si>
  <si>
    <t>Voka karikas 10</t>
  </si>
  <si>
    <t>Voka karikas - finaal</t>
  </si>
  <si>
    <t>VOKA KARIKAVÕISTLUSED 2016</t>
  </si>
  <si>
    <t xml:space="preserve">Finaali pääsemiseks on vajalik osavõtt vähemalt 3st etapist. </t>
  </si>
  <si>
    <t>Finaal mängitakse kahe kaotuse süsteemis üksimängus.</t>
  </si>
  <si>
    <t>staadion</t>
  </si>
  <si>
    <t>Voka pliks-plaks</t>
  </si>
  <si>
    <t>finaal</t>
  </si>
  <si>
    <t>17 - 24 koht</t>
  </si>
  <si>
    <t>E</t>
  </si>
  <si>
    <t>F</t>
  </si>
  <si>
    <t>G</t>
  </si>
  <si>
    <t>H</t>
  </si>
  <si>
    <t>Seisuga 27.09.2016</t>
  </si>
  <si>
    <t>9 - 12 koht (A3, B3, C3, D4)</t>
  </si>
  <si>
    <t>läks ära</t>
  </si>
  <si>
    <t>L</t>
  </si>
  <si>
    <t>37-22=+15</t>
  </si>
  <si>
    <t>35-27=+8</t>
  </si>
  <si>
    <t>jrk</t>
  </si>
  <si>
    <t>Halmstad (Rootsi)</t>
  </si>
  <si>
    <t>ÜMBERVISKED</t>
  </si>
  <si>
    <t>ümbervisk</t>
  </si>
  <si>
    <r>
      <t>Koht</t>
    </r>
    <r>
      <rPr>
        <sz val="10"/>
        <color indexed="8"/>
        <rFont val="Arial"/>
        <family val="2"/>
        <charset val="186"/>
      </rPr>
      <t>/edasi</t>
    </r>
  </si>
  <si>
    <t>Naiste paremusjärjestus:</t>
  </si>
  <si>
    <t>Kalle Vaik</t>
  </si>
  <si>
    <t>Tiit Piik</t>
  </si>
  <si>
    <t>Joana Taalberg</t>
  </si>
  <si>
    <t>Kristiin Marleen Neiland</t>
  </si>
  <si>
    <t>Lilian Männi</t>
  </si>
  <si>
    <t xml:space="preserve">1. Singli EM (m, n), </t>
  </si>
  <si>
    <t>Rahvusvahelised ja katsevõistlused on sinisega ja kaldkirjas</t>
  </si>
  <si>
    <t xml:space="preserve">Punktid </t>
  </si>
  <si>
    <t>Eesti reitingusarja võistlused on kollase taustaga</t>
  </si>
  <si>
    <t>Ida-Viru reitinguvõistlused on rasvases trükis ja sinise taustaga</t>
  </si>
  <si>
    <t xml:space="preserve">Voka 3. </t>
  </si>
  <si>
    <t>KV 1. etapp</t>
  </si>
  <si>
    <t>KV 2. etapp</t>
  </si>
  <si>
    <t>KV 3. etapp</t>
  </si>
  <si>
    <t>KV 4. etapp</t>
  </si>
  <si>
    <t>KV 5. etapp</t>
  </si>
  <si>
    <t>KV 7. etapp</t>
  </si>
  <si>
    <t>KV 8. etapp</t>
  </si>
  <si>
    <t>KV 9. etapp</t>
  </si>
  <si>
    <t>KV 10. etapp</t>
  </si>
  <si>
    <t>KV 6. etapp</t>
  </si>
  <si>
    <t>KV 1. etapp, DUO</t>
  </si>
  <si>
    <t>KV 2. etapp, TRIO</t>
  </si>
  <si>
    <t>KV 3. etapp, DUO</t>
  </si>
  <si>
    <t>KV 4. etapp, TRIO</t>
  </si>
  <si>
    <t>Kõik mängud toimusid ajalimiidiga.</t>
  </si>
  <si>
    <t>I-Viru MV (K-Nõmmel)</t>
  </si>
  <si>
    <t>Toila valla MV (15. muruturniir)</t>
  </si>
  <si>
    <r>
      <t xml:space="preserve">1. etapp (nais, </t>
    </r>
    <r>
      <rPr>
        <i/>
        <strike/>
        <sz val="10"/>
        <color theme="8" tint="0.39997558519241921"/>
        <rFont val="Arial"/>
        <family val="2"/>
        <charset val="186"/>
      </rPr>
      <t>jun</t>
    </r>
    <r>
      <rPr>
        <i/>
        <sz val="10"/>
        <color theme="8" tint="0.39997558519241921"/>
        <rFont val="Arial"/>
        <family val="2"/>
        <charset val="186"/>
      </rPr>
      <t>), TRIO</t>
    </r>
  </si>
  <si>
    <t>3. Viru karikas, DUO</t>
  </si>
  <si>
    <t>Eesti reiting, 3. Viru karikas</t>
  </si>
  <si>
    <t>toimub lisamäng</t>
  </si>
  <si>
    <t>esimene kaotus,</t>
  </si>
  <si>
    <t>kui see on mängija</t>
  </si>
  <si>
    <r>
      <t xml:space="preserve">II </t>
    </r>
    <r>
      <rPr>
        <b/>
        <sz val="10"/>
        <color theme="9" tint="-0.249977111117893"/>
        <rFont val="Arial"/>
        <family val="2"/>
        <charset val="186"/>
      </rPr>
      <t>/ 766</t>
    </r>
  </si>
  <si>
    <t>3. Veteranide (55+) EM, TRIO</t>
  </si>
  <si>
    <t>Eesti reitingus läheb arvesse 12 võistlust 16st  (7 reitinguvõistlust 10st + 5 Eesti MV-d 6st) + sisereiting</t>
  </si>
  <si>
    <t>10. Juunioride EM, TRIO,TUL</t>
  </si>
  <si>
    <t>Üld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</si>
</sst>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[$€-1]"/>
    <numFmt numFmtId="165" formatCode="mmm\ yyyy"/>
    <numFmt numFmtId="166" formatCode="0;\-0;;@"/>
    <numFmt numFmtId="167" formatCode="d/m/yy"/>
    <numFmt numFmtId="168" formatCode="dd/mm/yy"/>
    <numFmt numFmtId="169" formatCode="0.00_ ;\-0.00\ "/>
    <numFmt numFmtId="170" formatCode="0.0000000000000000_ ;\-0.0000000000000000\ "/>
    <numFmt numFmtId="171" formatCode="0.00000000000000000_ ;\-0.00000000000000000\ "/>
    <numFmt numFmtId="172" formatCode="0.000000000000000000000000000000"/>
  </numFmts>
  <fonts count="77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204"/>
    </font>
    <font>
      <b/>
      <sz val="8"/>
      <color indexed="81"/>
      <name val="Tahoma"/>
      <family val="2"/>
      <charset val="186"/>
    </font>
    <font>
      <i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b/>
      <u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8"/>
      <color indexed="10"/>
      <name val="Arial"/>
      <family val="2"/>
      <charset val="186"/>
    </font>
    <font>
      <sz val="10"/>
      <color indexed="55"/>
      <name val="Arial"/>
      <family val="2"/>
      <charset val="186"/>
    </font>
    <font>
      <sz val="8"/>
      <color indexed="81"/>
      <name val="Tahoma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0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CC0000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rgb="FF00B050"/>
      <name val="Arial"/>
      <family val="2"/>
      <charset val="186"/>
    </font>
    <font>
      <u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u/>
      <sz val="10"/>
      <color rgb="FF0000FF"/>
      <name val="Arial"/>
      <family val="2"/>
      <charset val="186"/>
    </font>
    <font>
      <b/>
      <u/>
      <sz val="10"/>
      <color rgb="FF0000FF"/>
      <name val="Arial"/>
      <family val="2"/>
      <charset val="186"/>
    </font>
    <font>
      <sz val="10"/>
      <color rgb="FF0000FF"/>
      <name val="Arial"/>
      <family val="2"/>
      <charset val="186"/>
    </font>
    <font>
      <strike/>
      <u/>
      <sz val="10"/>
      <color theme="0" tint="-0.34998626667073579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trike/>
      <sz val="10"/>
      <color theme="1"/>
      <name val="Arial"/>
      <family val="2"/>
      <charset val="186"/>
    </font>
    <font>
      <sz val="10"/>
      <color theme="4" tint="-0.249977111117893"/>
      <name val="Arial"/>
      <family val="2"/>
      <charset val="186"/>
    </font>
    <font>
      <b/>
      <sz val="10"/>
      <color theme="4" tint="-0.249977111117893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rgb="FFCC0000"/>
      <name val="Arial"/>
      <family val="2"/>
      <charset val="186"/>
    </font>
    <font>
      <sz val="10"/>
      <color theme="0" tint="-0.249977111117893"/>
      <name val="Arial"/>
      <family val="2"/>
      <charset val="186"/>
    </font>
    <font>
      <b/>
      <i/>
      <sz val="10"/>
      <color rgb="FFCC0000"/>
      <name val="Arial"/>
      <family val="2"/>
      <charset val="186"/>
    </font>
    <font>
      <sz val="10"/>
      <color theme="0" tint="-0.499984740745262"/>
      <name val="Arial"/>
      <family val="2"/>
      <charset val="186"/>
    </font>
    <font>
      <i/>
      <sz val="10"/>
      <color rgb="FFCC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rgb="FFCC0000"/>
      <name val="Arial"/>
      <family val="2"/>
      <charset val="186"/>
    </font>
    <font>
      <b/>
      <sz val="10"/>
      <color theme="9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sz val="10"/>
      <color rgb="FF92D050"/>
      <name val="Arial"/>
      <family val="2"/>
      <charset val="186"/>
    </font>
    <font>
      <b/>
      <sz val="10"/>
      <color theme="9" tint="-0.249977111117893"/>
      <name val="Arial"/>
      <family val="2"/>
      <charset val="186"/>
    </font>
    <font>
      <sz val="10"/>
      <color rgb="FF0070C0"/>
      <name val="Arial"/>
      <family val="2"/>
      <charset val="186"/>
    </font>
    <font>
      <u/>
      <sz val="10"/>
      <color theme="0"/>
      <name val="Arial"/>
      <family val="2"/>
      <charset val="186"/>
    </font>
    <font>
      <i/>
      <u/>
      <sz val="10"/>
      <color theme="10"/>
      <name val="Arial"/>
      <family val="2"/>
      <charset val="186"/>
    </font>
    <font>
      <i/>
      <u/>
      <sz val="10"/>
      <color rgb="FF0070C0"/>
      <name val="Arial"/>
      <family val="2"/>
      <charset val="186"/>
    </font>
    <font>
      <i/>
      <sz val="10"/>
      <color rgb="FF0070C0"/>
      <name val="Arial"/>
      <family val="2"/>
      <charset val="186"/>
    </font>
    <font>
      <i/>
      <sz val="8"/>
      <color rgb="FF0070C0"/>
      <name val="Arial"/>
      <family val="2"/>
      <charset val="186"/>
    </font>
    <font>
      <i/>
      <sz val="9"/>
      <color rgb="FF0070C0"/>
      <name val="Arial"/>
      <family val="2"/>
      <charset val="186"/>
    </font>
    <font>
      <i/>
      <u/>
      <sz val="10"/>
      <color rgb="FFFF0000"/>
      <name val="Arial"/>
      <family val="2"/>
      <charset val="186"/>
    </font>
    <font>
      <i/>
      <u/>
      <sz val="10"/>
      <color rgb="FF0000FF"/>
      <name val="Arial"/>
      <family val="2"/>
      <charset val="186"/>
    </font>
    <font>
      <b/>
      <i/>
      <sz val="10"/>
      <color rgb="FF99CCFF"/>
      <name val="Arial"/>
      <family val="2"/>
      <charset val="186"/>
    </font>
    <font>
      <b/>
      <i/>
      <sz val="10"/>
      <color rgb="FF0070C0"/>
      <name val="Arial"/>
      <family val="2"/>
      <charset val="186"/>
    </font>
    <font>
      <sz val="24"/>
      <color rgb="FFFF0000"/>
      <name val="Arial"/>
      <family val="2"/>
      <charset val="186"/>
    </font>
    <font>
      <i/>
      <u/>
      <sz val="10"/>
      <color theme="8" tint="0.39997558519241921"/>
      <name val="Arial"/>
      <family val="2"/>
      <charset val="186"/>
    </font>
    <font>
      <i/>
      <sz val="10"/>
      <color theme="8" tint="0.39997558519241921"/>
      <name val="Arial"/>
      <family val="2"/>
      <charset val="186"/>
    </font>
    <font>
      <i/>
      <strike/>
      <sz val="10"/>
      <color theme="8" tint="0.39997558519241921"/>
      <name val="Arial"/>
      <family val="2"/>
      <charset val="186"/>
    </font>
    <font>
      <i/>
      <strike/>
      <u/>
      <sz val="10"/>
      <color theme="8" tint="0.39997558519241921"/>
      <name val="Arial"/>
      <family val="2"/>
      <charset val="186"/>
    </font>
    <font>
      <i/>
      <u/>
      <sz val="10"/>
      <color theme="1"/>
      <name val="Arial"/>
      <family val="2"/>
      <charset val="186"/>
    </font>
    <font>
      <i/>
      <strike/>
      <sz val="10"/>
      <color theme="1"/>
      <name val="Arial"/>
      <family val="2"/>
      <charset val="186"/>
    </font>
    <font>
      <u/>
      <sz val="10"/>
      <name val="Arial"/>
      <family val="2"/>
      <charset val="186"/>
    </font>
    <font>
      <strike/>
      <sz val="10"/>
      <color rgb="FF00B0F0"/>
      <name val="Arial"/>
      <family val="2"/>
      <charset val="186"/>
    </font>
    <font>
      <sz val="10"/>
      <color theme="9" tint="-0.249977111117893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6795556505021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/>
      <top/>
      <bottom style="thin">
        <color rgb="FF00B050"/>
      </bottom>
      <diagonal/>
    </border>
    <border>
      <left style="medium">
        <color rgb="FF000000"/>
      </left>
      <right/>
      <top style="thin">
        <color rgb="FF00B050"/>
      </top>
      <bottom/>
      <diagonal/>
    </border>
    <border>
      <left style="medium">
        <color indexed="8"/>
      </left>
      <right/>
      <top style="medium">
        <color rgb="FF000000"/>
      </top>
      <bottom/>
      <diagonal/>
    </border>
    <border>
      <left style="medium">
        <color indexed="8"/>
      </left>
      <right/>
      <top/>
      <bottom style="medium">
        <color rgb="FF000000"/>
      </bottom>
      <diagonal/>
    </border>
    <border>
      <left/>
      <right style="medium">
        <color indexed="8"/>
      </right>
      <top/>
      <bottom style="medium">
        <color rgb="FF00000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indexed="8"/>
      </right>
      <top style="medium">
        <color rgb="FF000000"/>
      </top>
      <bottom/>
      <diagonal/>
    </border>
    <border>
      <left style="thin">
        <color theme="0" tint="-0.24994659260841701"/>
      </left>
      <right style="medium">
        <color rgb="FF00000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/>
      <bottom style="thin">
        <color rgb="FF00B050"/>
      </bottom>
      <diagonal/>
    </border>
    <border>
      <left/>
      <right style="medium">
        <color rgb="FF000000"/>
      </right>
      <top style="thin">
        <color rgb="FF00B050"/>
      </top>
      <bottom/>
      <diagonal/>
    </border>
    <border>
      <left/>
      <right style="dashed">
        <color theme="9" tint="-0.24994659260841701"/>
      </right>
      <top/>
      <bottom style="dashed">
        <color theme="9" tint="-0.24994659260841701"/>
      </bottom>
      <diagonal/>
    </border>
    <border>
      <left/>
      <right style="dashed">
        <color theme="9" tint="-0.24994659260841701"/>
      </right>
      <top/>
      <bottom/>
      <diagonal/>
    </border>
    <border>
      <left style="medium">
        <color rgb="FF000000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medium">
        <color rgb="FF000000"/>
      </right>
      <top/>
      <bottom style="thin">
        <color theme="8" tint="0.39994506668294322"/>
      </bottom>
      <diagonal/>
    </border>
    <border>
      <left/>
      <right/>
      <top style="thin">
        <color theme="0" tint="-0.24994659260841701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medium">
        <color rgb="FF000000"/>
      </bottom>
      <diagonal/>
    </border>
    <border>
      <left/>
      <right style="medium">
        <color rgb="FF000000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8" tint="0.39994506668294322"/>
      </bottom>
      <diagonal/>
    </border>
    <border>
      <left/>
      <right/>
      <top style="thin">
        <color theme="8" tint="0.39991454817346722"/>
      </top>
      <bottom style="thin">
        <color theme="8" tint="0.39994506668294322"/>
      </bottom>
      <diagonal/>
    </border>
    <border>
      <left style="medium">
        <color rgb="FF000000"/>
      </left>
      <right/>
      <top style="thin">
        <color theme="8" tint="0.39991454817346722"/>
      </top>
      <bottom style="thin">
        <color theme="8" tint="0.39994506668294322"/>
      </bottom>
      <diagonal/>
    </border>
    <border>
      <left style="medium">
        <color rgb="FF000000"/>
      </left>
      <right/>
      <top style="thin">
        <color theme="8" tint="0.39994506668294322"/>
      </top>
      <bottom style="medium">
        <color rgb="FF000000"/>
      </bottom>
      <diagonal/>
    </border>
    <border>
      <left/>
      <right style="medium">
        <color rgb="FF000000"/>
      </right>
      <top style="thin">
        <color theme="8" tint="0.39994506668294322"/>
      </top>
      <bottom style="medium">
        <color rgb="FF000000"/>
      </bottom>
      <diagonal/>
    </border>
    <border>
      <left style="medium">
        <color rgb="FF000000"/>
      </left>
      <right/>
      <top/>
      <bottom style="dashDot">
        <color rgb="FF000000"/>
      </bottom>
      <diagonal/>
    </border>
    <border>
      <left/>
      <right style="medium">
        <color rgb="FF000000"/>
      </right>
      <top/>
      <bottom style="dashDot">
        <color rgb="FF000000"/>
      </bottom>
      <diagonal/>
    </border>
    <border>
      <left style="medium">
        <color rgb="FF000000"/>
      </left>
      <right/>
      <top style="dashDot">
        <color rgb="FF000000"/>
      </top>
      <bottom/>
      <diagonal/>
    </border>
    <border>
      <left/>
      <right style="medium">
        <color rgb="FF000000"/>
      </right>
      <top style="dashDot">
        <color rgb="FF000000"/>
      </top>
      <bottom/>
      <diagonal/>
    </border>
    <border>
      <left/>
      <right/>
      <top style="dashDot">
        <color rgb="FF000000"/>
      </top>
      <bottom/>
      <diagonal/>
    </border>
    <border>
      <left/>
      <right style="medium">
        <color indexed="64"/>
      </right>
      <top/>
      <bottom style="dashDot">
        <color rgb="FF000000"/>
      </bottom>
      <diagonal/>
    </border>
    <border>
      <left/>
      <right style="medium">
        <color indexed="64"/>
      </right>
      <top style="dashDot">
        <color rgb="FF000000"/>
      </top>
      <bottom/>
      <diagonal/>
    </border>
    <border>
      <left style="medium">
        <color indexed="64"/>
      </left>
      <right/>
      <top/>
      <bottom style="dashDot">
        <color rgb="FF000000"/>
      </bottom>
      <diagonal/>
    </border>
    <border>
      <left style="medium">
        <color rgb="FF000000"/>
      </left>
      <right/>
      <top style="dashDot">
        <color rgb="FF000000"/>
      </top>
      <bottom style="thin">
        <color theme="8" tint="0.39994506668294322"/>
      </bottom>
      <diagonal/>
    </border>
    <border>
      <left/>
      <right/>
      <top style="dashDot">
        <color rgb="FF000000"/>
      </top>
      <bottom style="thin">
        <color theme="8" tint="0.39994506668294322"/>
      </bottom>
      <diagonal/>
    </border>
    <border>
      <left/>
      <right style="medium">
        <color indexed="64"/>
      </right>
      <top style="dashDot">
        <color rgb="FF000000"/>
      </top>
      <bottom style="thin">
        <color theme="8" tint="0.39994506668294322"/>
      </bottom>
      <diagonal/>
    </border>
    <border>
      <left style="medium">
        <color rgb="FF000000"/>
      </left>
      <right/>
      <top style="thin">
        <color theme="8" tint="0.39994506668294322"/>
      </top>
      <bottom style="medium">
        <color indexed="64"/>
      </bottom>
      <diagonal/>
    </border>
    <border>
      <left/>
      <right/>
      <top style="thin">
        <color theme="8" tint="0.39994506668294322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39994506668294322"/>
      </top>
      <bottom style="medium">
        <color indexed="64"/>
      </bottom>
      <diagonal/>
    </border>
    <border>
      <left/>
      <right/>
      <top/>
      <bottom style="dashDot">
        <color rgb="FF000000"/>
      </bottom>
      <diagonal/>
    </border>
    <border>
      <left/>
      <right style="medium">
        <color rgb="FF000000"/>
      </right>
      <top style="dashDot">
        <color rgb="FF000000"/>
      </top>
      <bottom style="thin">
        <color theme="8" tint="0.39994506668294322"/>
      </bottom>
      <diagonal/>
    </border>
  </borders>
  <cellStyleXfs count="2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3" fillId="0" borderId="0"/>
    <xf numFmtId="0" fontId="4" fillId="0" borderId="0"/>
    <xf numFmtId="0" fontId="15" fillId="0" borderId="0"/>
    <xf numFmtId="0" fontId="21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1" fillId="0" borderId="0"/>
    <xf numFmtId="0" fontId="7" fillId="0" borderId="0"/>
    <xf numFmtId="0" fontId="7" fillId="0" borderId="0"/>
    <xf numFmtId="0" fontId="25" fillId="0" borderId="0"/>
    <xf numFmtId="0" fontId="2" fillId="0" borderId="0"/>
    <xf numFmtId="0" fontId="21" fillId="0" borderId="0"/>
    <xf numFmtId="0" fontId="16" fillId="0" borderId="0"/>
    <xf numFmtId="49" fontId="8" fillId="3" borderId="0" applyBorder="0" applyProtection="0">
      <alignment horizontal="left" vertical="top" wrapText="1"/>
    </xf>
  </cellStyleXfs>
  <cellXfs count="1399">
    <xf numFmtId="0" fontId="0" fillId="0" borderId="0" xfId="0"/>
    <xf numFmtId="0" fontId="26" fillId="4" borderId="1" xfId="6" applyNumberFormat="1" applyFont="1" applyFill="1" applyBorder="1" applyAlignment="1"/>
    <xf numFmtId="0" fontId="16" fillId="0" borderId="0" xfId="6" applyNumberFormat="1" applyFont="1" applyAlignment="1"/>
    <xf numFmtId="0" fontId="16" fillId="0" borderId="0" xfId="6" applyNumberFormat="1" applyFont="1" applyAlignment="1">
      <alignment horizontal="center"/>
    </xf>
    <xf numFmtId="164" fontId="16" fillId="0" borderId="0" xfId="6" applyNumberFormat="1" applyFont="1" applyBorder="1" applyAlignment="1">
      <alignment horizontal="center"/>
    </xf>
    <xf numFmtId="0" fontId="16" fillId="0" borderId="0" xfId="6" applyFont="1" applyFill="1" applyAlignment="1">
      <alignment vertical="top"/>
    </xf>
    <xf numFmtId="0" fontId="16" fillId="0" borderId="0" xfId="6" applyFont="1" applyAlignment="1">
      <alignment vertical="top"/>
    </xf>
    <xf numFmtId="0" fontId="26" fillId="0" borderId="0" xfId="6" applyFont="1" applyAlignment="1">
      <alignment vertical="top"/>
    </xf>
    <xf numFmtId="0" fontId="16" fillId="0" borderId="0" xfId="6" applyFont="1" applyBorder="1" applyAlignment="1"/>
    <xf numFmtId="0" fontId="16" fillId="0" borderId="0" xfId="6" applyFont="1" applyAlignment="1"/>
    <xf numFmtId="0" fontId="16" fillId="0" borderId="1" xfId="6" applyFont="1" applyBorder="1" applyAlignment="1"/>
    <xf numFmtId="0" fontId="26" fillId="0" borderId="0" xfId="6" applyFont="1"/>
    <xf numFmtId="0" fontId="16" fillId="0" borderId="0" xfId="6" applyFont="1"/>
    <xf numFmtId="0" fontId="28" fillId="0" borderId="0" xfId="8" applyFont="1" applyFill="1" applyBorder="1" applyAlignment="1">
      <alignment horizontal="right"/>
    </xf>
    <xf numFmtId="0" fontId="26" fillId="0" borderId="1" xfId="0" applyFont="1" applyBorder="1" applyAlignment="1">
      <alignment horizontal="center"/>
    </xf>
    <xf numFmtId="0" fontId="29" fillId="0" borderId="1" xfId="0" applyFont="1" applyBorder="1"/>
    <xf numFmtId="166" fontId="29" fillId="0" borderId="1" xfId="8" applyNumberFormat="1" applyFont="1" applyFill="1" applyBorder="1" applyAlignment="1">
      <alignment horizontal="center"/>
    </xf>
    <xf numFmtId="166" fontId="29" fillId="0" borderId="0" xfId="8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15" applyFont="1" applyFill="1" applyBorder="1" applyAlignment="1">
      <alignment horizontal="center"/>
    </xf>
    <xf numFmtId="0" fontId="29" fillId="0" borderId="1" xfId="8" applyFont="1" applyFill="1" applyBorder="1" applyAlignment="1"/>
    <xf numFmtId="164" fontId="16" fillId="6" borderId="1" xfId="6" applyNumberFormat="1" applyFont="1" applyFill="1" applyBorder="1" applyAlignment="1">
      <alignment horizontal="center"/>
    </xf>
    <xf numFmtId="164" fontId="16" fillId="0" borderId="1" xfId="6" applyNumberFormat="1" applyFont="1" applyBorder="1" applyAlignment="1">
      <alignment horizontal="center"/>
    </xf>
    <xf numFmtId="0" fontId="26" fillId="0" borderId="0" xfId="6" applyFont="1" applyBorder="1" applyAlignment="1"/>
    <xf numFmtId="0" fontId="26" fillId="0" borderId="0" xfId="6" applyFont="1" applyFill="1" applyBorder="1" applyAlignment="1"/>
    <xf numFmtId="0" fontId="16" fillId="0" borderId="49" xfId="6" applyFont="1" applyFill="1" applyBorder="1" applyAlignment="1"/>
    <xf numFmtId="0" fontId="16" fillId="0" borderId="0" xfId="6" applyFont="1" applyFill="1" applyBorder="1" applyAlignment="1"/>
    <xf numFmtId="0" fontId="26" fillId="0" borderId="2" xfId="6" applyFont="1" applyFill="1" applyBorder="1" applyAlignment="1"/>
    <xf numFmtId="0" fontId="16" fillId="0" borderId="50" xfId="6" applyFont="1" applyBorder="1" applyAlignment="1"/>
    <xf numFmtId="0" fontId="27" fillId="0" borderId="0" xfId="6" applyNumberFormat="1" applyFont="1" applyAlignment="1"/>
    <xf numFmtId="0" fontId="26" fillId="0" borderId="1" xfId="6" applyFont="1" applyBorder="1" applyAlignment="1"/>
    <xf numFmtId="0" fontId="2" fillId="0" borderId="0" xfId="8" applyFont="1" applyAlignment="1"/>
    <xf numFmtId="0" fontId="26" fillId="5" borderId="1" xfId="6" applyFont="1" applyFill="1" applyBorder="1" applyAlignment="1"/>
    <xf numFmtId="0" fontId="16" fillId="0" borderId="0" xfId="6" applyFont="1" applyFill="1" applyBorder="1"/>
    <xf numFmtId="0" fontId="16" fillId="0" borderId="0" xfId="6" applyFont="1" applyBorder="1"/>
    <xf numFmtId="0" fontId="26" fillId="0" borderId="0" xfId="6" applyFont="1" applyFill="1" applyBorder="1" applyAlignment="1">
      <alignment horizontal="right"/>
    </xf>
    <xf numFmtId="0" fontId="16" fillId="0" borderId="0" xfId="6" applyFont="1" applyFill="1" applyBorder="1" applyAlignment="1">
      <alignment horizontal="left"/>
    </xf>
    <xf numFmtId="166" fontId="16" fillId="0" borderId="0" xfId="6" applyNumberFormat="1" applyFont="1" applyAlignment="1">
      <alignment horizontal="center"/>
    </xf>
    <xf numFmtId="0" fontId="29" fillId="0" borderId="1" xfId="8" applyFont="1" applyFill="1" applyBorder="1" applyAlignment="1">
      <alignment horizontal="center"/>
    </xf>
    <xf numFmtId="170" fontId="29" fillId="0" borderId="1" xfId="8" applyNumberFormat="1" applyFont="1" applyFill="1" applyBorder="1" applyAlignment="1">
      <alignment horizontal="center"/>
    </xf>
    <xf numFmtId="0" fontId="29" fillId="0" borderId="1" xfId="8" applyFont="1" applyBorder="1" applyAlignment="1"/>
    <xf numFmtId="0" fontId="17" fillId="7" borderId="1" xfId="0" applyFont="1" applyFill="1" applyBorder="1" applyAlignment="1">
      <alignment horizontal="center"/>
    </xf>
    <xf numFmtId="0" fontId="16" fillId="0" borderId="0" xfId="6" applyNumberFormat="1" applyFont="1" applyFill="1" applyAlignment="1"/>
    <xf numFmtId="0" fontId="16" fillId="0" borderId="1" xfId="6" applyFont="1" applyBorder="1"/>
    <xf numFmtId="0" fontId="16" fillId="8" borderId="1" xfId="6" applyFont="1" applyFill="1" applyBorder="1"/>
    <xf numFmtId="0" fontId="26" fillId="0" borderId="0" xfId="6" applyFont="1" applyAlignment="1"/>
    <xf numFmtId="0" fontId="16" fillId="0" borderId="0" xfId="6" applyFont="1" applyFill="1"/>
    <xf numFmtId="0" fontId="6" fillId="0" borderId="0" xfId="6" applyFont="1" applyFill="1"/>
    <xf numFmtId="0" fontId="2" fillId="0" borderId="0" xfId="6" applyFont="1" applyFill="1"/>
    <xf numFmtId="0" fontId="30" fillId="0" borderId="0" xfId="6" applyFont="1" applyFill="1"/>
    <xf numFmtId="0" fontId="26" fillId="0" borderId="0" xfId="6" applyFont="1" applyFill="1" applyAlignment="1">
      <alignment horizontal="right"/>
    </xf>
    <xf numFmtId="0" fontId="31" fillId="0" borderId="3" xfId="6" applyFont="1" applyFill="1" applyBorder="1" applyAlignment="1"/>
    <xf numFmtId="0" fontId="16" fillId="0" borderId="4" xfId="6" applyFont="1" applyFill="1" applyBorder="1"/>
    <xf numFmtId="0" fontId="16" fillId="0" borderId="5" xfId="6" applyFont="1" applyFill="1" applyBorder="1"/>
    <xf numFmtId="0" fontId="16" fillId="0" borderId="6" xfId="6" applyFont="1" applyFill="1" applyBorder="1" applyAlignment="1">
      <alignment horizontal="left"/>
    </xf>
    <xf numFmtId="0" fontId="31" fillId="0" borderId="7" xfId="6" applyFont="1" applyFill="1" applyBorder="1"/>
    <xf numFmtId="0" fontId="16" fillId="0" borderId="0" xfId="6" applyFont="1" applyFill="1" applyAlignment="1">
      <alignment horizontal="left"/>
    </xf>
    <xf numFmtId="0" fontId="16" fillId="0" borderId="8" xfId="6" applyFont="1" applyFill="1" applyBorder="1"/>
    <xf numFmtId="0" fontId="16" fillId="0" borderId="9" xfId="6" applyFont="1" applyFill="1" applyBorder="1"/>
    <xf numFmtId="0" fontId="16" fillId="0" borderId="7" xfId="6" applyFont="1" applyFill="1" applyBorder="1" applyAlignment="1">
      <alignment horizontal="left"/>
    </xf>
    <xf numFmtId="0" fontId="16" fillId="0" borderId="10" xfId="6" applyFont="1" applyFill="1" applyBorder="1" applyAlignment="1">
      <alignment horizontal="left"/>
    </xf>
    <xf numFmtId="0" fontId="16" fillId="0" borderId="7" xfId="6" applyFont="1" applyFill="1" applyBorder="1"/>
    <xf numFmtId="0" fontId="26" fillId="0" borderId="0" xfId="6" applyFont="1" applyFill="1"/>
    <xf numFmtId="0" fontId="16" fillId="0" borderId="11" xfId="6" applyFont="1" applyFill="1" applyBorder="1"/>
    <xf numFmtId="0" fontId="26" fillId="0" borderId="7" xfId="6" applyFont="1" applyFill="1" applyBorder="1" applyAlignment="1">
      <alignment horizontal="left"/>
    </xf>
    <xf numFmtId="0" fontId="26" fillId="0" borderId="0" xfId="6" applyFont="1" applyFill="1" applyBorder="1" applyAlignment="1">
      <alignment horizontal="left"/>
    </xf>
    <xf numFmtId="0" fontId="26" fillId="0" borderId="10" xfId="6" applyFont="1" applyFill="1" applyBorder="1" applyAlignment="1">
      <alignment horizontal="left"/>
    </xf>
    <xf numFmtId="0" fontId="26" fillId="0" borderId="7" xfId="6" applyFont="1" applyFill="1" applyBorder="1"/>
    <xf numFmtId="0" fontId="16" fillId="0" borderId="6" xfId="6" applyFont="1" applyFill="1" applyBorder="1"/>
    <xf numFmtId="0" fontId="16" fillId="0" borderId="12" xfId="6" applyFont="1" applyFill="1" applyBorder="1"/>
    <xf numFmtId="0" fontId="2" fillId="0" borderId="11" xfId="8" applyFont="1" applyFill="1" applyBorder="1"/>
    <xf numFmtId="0" fontId="31" fillId="0" borderId="7" xfId="6" applyFont="1" applyFill="1" applyBorder="1" applyAlignment="1">
      <alignment horizontal="right"/>
    </xf>
    <xf numFmtId="0" fontId="16" fillId="0" borderId="13" xfId="6" applyFont="1" applyFill="1" applyBorder="1"/>
    <xf numFmtId="0" fontId="2" fillId="0" borderId="2" xfId="6" applyFont="1" applyFill="1" applyBorder="1"/>
    <xf numFmtId="0" fontId="16" fillId="0" borderId="14" xfId="6" applyFont="1" applyFill="1" applyBorder="1"/>
    <xf numFmtId="0" fontId="26" fillId="0" borderId="15" xfId="6" applyFont="1" applyFill="1" applyBorder="1"/>
    <xf numFmtId="0" fontId="16" fillId="0" borderId="2" xfId="6" applyFont="1" applyFill="1" applyBorder="1"/>
    <xf numFmtId="0" fontId="3" fillId="0" borderId="0" xfId="6" quotePrefix="1" applyFont="1" applyFill="1" applyAlignment="1">
      <alignment horizontal="right"/>
    </xf>
    <xf numFmtId="0" fontId="2" fillId="0" borderId="0" xfId="6" applyFont="1" applyFill="1" applyAlignment="1">
      <alignment horizontal="left"/>
    </xf>
    <xf numFmtId="0" fontId="16" fillId="0" borderId="3" xfId="6" applyFont="1" applyFill="1" applyBorder="1"/>
    <xf numFmtId="0" fontId="30" fillId="0" borderId="0" xfId="6" applyFont="1" applyFill="1" applyAlignment="1"/>
    <xf numFmtId="0" fontId="32" fillId="0" borderId="7" xfId="6" applyFont="1" applyFill="1" applyBorder="1"/>
    <xf numFmtId="0" fontId="32" fillId="0" borderId="3" xfId="6" applyFont="1" applyFill="1" applyBorder="1" applyAlignment="1"/>
    <xf numFmtId="0" fontId="32" fillId="0" borderId="7" xfId="6" applyFont="1" applyFill="1" applyBorder="1" applyAlignment="1"/>
    <xf numFmtId="0" fontId="16" fillId="0" borderId="8" xfId="6" applyFont="1" applyFill="1" applyBorder="1" applyAlignment="1"/>
    <xf numFmtId="0" fontId="16" fillId="0" borderId="10" xfId="6" applyFont="1" applyFill="1" applyBorder="1"/>
    <xf numFmtId="0" fontId="26" fillId="0" borderId="8" xfId="6" applyFont="1" applyFill="1" applyBorder="1" applyAlignment="1"/>
    <xf numFmtId="0" fontId="16" fillId="0" borderId="12" xfId="6" applyFont="1" applyFill="1" applyBorder="1" applyAlignment="1">
      <alignment horizontal="left"/>
    </xf>
    <xf numFmtId="0" fontId="32" fillId="0" borderId="7" xfId="6" applyFont="1" applyFill="1" applyBorder="1" applyAlignment="1">
      <alignment horizontal="right"/>
    </xf>
    <xf numFmtId="0" fontId="32" fillId="0" borderId="8" xfId="6" applyFont="1" applyFill="1" applyBorder="1" applyAlignment="1"/>
    <xf numFmtId="0" fontId="26" fillId="0" borderId="0" xfId="6" applyFont="1" applyFill="1" applyBorder="1"/>
    <xf numFmtId="0" fontId="16" fillId="0" borderId="8" xfId="6" applyFont="1" applyFill="1" applyBorder="1" applyAlignment="1">
      <alignment horizontal="left"/>
    </xf>
    <xf numFmtId="0" fontId="3" fillId="0" borderId="0" xfId="6" quotePrefix="1" applyFont="1" applyFill="1" applyAlignment="1">
      <alignment horizontal="left"/>
    </xf>
    <xf numFmtId="0" fontId="26" fillId="0" borderId="12" xfId="6" applyFont="1" applyFill="1" applyBorder="1" applyAlignment="1">
      <alignment horizontal="left"/>
    </xf>
    <xf numFmtId="0" fontId="26" fillId="0" borderId="7" xfId="6" applyFont="1" applyFill="1" applyBorder="1" applyAlignment="1">
      <alignment horizontal="right"/>
    </xf>
    <xf numFmtId="0" fontId="26" fillId="0" borderId="8" xfId="6" applyFont="1" applyFill="1" applyBorder="1" applyAlignment="1">
      <alignment horizontal="right"/>
    </xf>
    <xf numFmtId="0" fontId="16" fillId="0" borderId="16" xfId="6" applyFont="1" applyFill="1" applyBorder="1"/>
    <xf numFmtId="0" fontId="26" fillId="0" borderId="3" xfId="6" applyFont="1" applyFill="1" applyBorder="1" applyAlignment="1"/>
    <xf numFmtId="0" fontId="9" fillId="0" borderId="0" xfId="6" applyFont="1" applyFill="1"/>
    <xf numFmtId="0" fontId="16" fillId="0" borderId="0" xfId="6" applyFont="1" applyFill="1" applyAlignment="1">
      <alignment horizontal="right"/>
    </xf>
    <xf numFmtId="0" fontId="3" fillId="5" borderId="0" xfId="6" applyFont="1" applyFill="1" applyAlignment="1">
      <alignment vertical="center"/>
    </xf>
    <xf numFmtId="0" fontId="2" fillId="4" borderId="0" xfId="6" applyFont="1" applyFill="1" applyAlignment="1">
      <alignment vertical="center"/>
    </xf>
    <xf numFmtId="0" fontId="2" fillId="8" borderId="0" xfId="6" applyFont="1" applyFill="1" applyAlignment="1">
      <alignment vertical="center"/>
    </xf>
    <xf numFmtId="0" fontId="2" fillId="0" borderId="0" xfId="6" applyFont="1" applyAlignment="1">
      <alignment vertical="center"/>
    </xf>
    <xf numFmtId="0" fontId="16" fillId="0" borderId="0" xfId="6" applyFont="1" applyFill="1" applyAlignment="1"/>
    <xf numFmtId="0" fontId="16" fillId="0" borderId="0" xfId="19" applyFont="1"/>
    <xf numFmtId="0" fontId="2" fillId="0" borderId="7" xfId="6" applyFont="1" applyFill="1" applyBorder="1" applyAlignment="1">
      <alignment horizontal="left"/>
    </xf>
    <xf numFmtId="0" fontId="29" fillId="0" borderId="0" xfId="8" applyFont="1" applyBorder="1" applyAlignment="1"/>
    <xf numFmtId="0" fontId="0" fillId="0" borderId="51" xfId="0" applyFont="1" applyFill="1" applyBorder="1" applyAlignment="1"/>
    <xf numFmtId="0" fontId="26" fillId="0" borderId="51" xfId="0" applyFont="1" applyFill="1" applyBorder="1" applyAlignment="1"/>
    <xf numFmtId="0" fontId="0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26" fillId="0" borderId="54" xfId="0" applyFont="1" applyFill="1" applyBorder="1" applyAlignment="1"/>
    <xf numFmtId="0" fontId="26" fillId="0" borderId="55" xfId="0" applyFont="1" applyFill="1" applyBorder="1" applyAlignment="1"/>
    <xf numFmtId="0" fontId="0" fillId="0" borderId="49" xfId="0" applyFont="1" applyFill="1" applyBorder="1" applyAlignment="1"/>
    <xf numFmtId="0" fontId="0" fillId="0" borderId="15" xfId="0" applyFont="1" applyFill="1" applyBorder="1" applyAlignment="1"/>
    <xf numFmtId="0" fontId="0" fillId="0" borderId="2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6" fillId="9" borderId="0" xfId="12" applyFont="1" applyFill="1" applyBorder="1" applyAlignment="1"/>
    <xf numFmtId="0" fontId="26" fillId="4" borderId="56" xfId="6" applyFont="1" applyFill="1" applyBorder="1" applyAlignment="1"/>
    <xf numFmtId="0" fontId="26" fillId="4" borderId="57" xfId="6" applyFont="1" applyFill="1" applyBorder="1" applyAlignment="1"/>
    <xf numFmtId="0" fontId="26" fillId="4" borderId="58" xfId="6" applyFont="1" applyFill="1" applyBorder="1" applyAlignment="1"/>
    <xf numFmtId="0" fontId="26" fillId="0" borderId="55" xfId="6" applyFont="1" applyFill="1" applyBorder="1" applyAlignment="1"/>
    <xf numFmtId="0" fontId="26" fillId="0" borderId="49" xfId="6" applyFont="1" applyFill="1" applyBorder="1" applyAlignment="1"/>
    <xf numFmtId="0" fontId="26" fillId="0" borderId="52" xfId="6" applyFont="1" applyFill="1" applyBorder="1" applyAlignment="1"/>
    <xf numFmtId="0" fontId="16" fillId="0" borderId="53" xfId="6" applyFont="1" applyFill="1" applyBorder="1" applyAlignment="1"/>
    <xf numFmtId="0" fontId="26" fillId="0" borderId="59" xfId="6" applyFont="1" applyFill="1" applyBorder="1" applyAlignment="1"/>
    <xf numFmtId="0" fontId="16" fillId="0" borderId="51" xfId="6" applyFont="1" applyFill="1" applyBorder="1" applyAlignment="1"/>
    <xf numFmtId="0" fontId="26" fillId="0" borderId="51" xfId="6" applyFont="1" applyFill="1" applyBorder="1" applyAlignment="1"/>
    <xf numFmtId="0" fontId="16" fillId="0" borderId="54" xfId="6" applyFont="1" applyFill="1" applyBorder="1" applyAlignment="1"/>
    <xf numFmtId="0" fontId="26" fillId="9" borderId="55" xfId="6" applyFont="1" applyFill="1" applyBorder="1" applyAlignment="1"/>
    <xf numFmtId="0" fontId="16" fillId="0" borderId="50" xfId="6" applyFont="1" applyFill="1" applyBorder="1" applyAlignment="1"/>
    <xf numFmtId="0" fontId="26" fillId="9" borderId="52" xfId="6" applyFont="1" applyFill="1" applyBorder="1" applyAlignment="1"/>
    <xf numFmtId="0" fontId="26" fillId="0" borderId="54" xfId="6" applyFont="1" applyFill="1" applyBorder="1" applyAlignment="1"/>
    <xf numFmtId="0" fontId="26" fillId="6" borderId="55" xfId="6" applyFont="1" applyFill="1" applyBorder="1" applyAlignment="1"/>
    <xf numFmtId="0" fontId="26" fillId="0" borderId="50" xfId="6" applyFont="1" applyFill="1" applyBorder="1" applyAlignment="1"/>
    <xf numFmtId="0" fontId="26" fillId="0" borderId="60" xfId="0" applyFont="1" applyFill="1" applyBorder="1" applyAlignment="1"/>
    <xf numFmtId="0" fontId="26" fillId="0" borderId="53" xfId="6" applyFont="1" applyFill="1" applyBorder="1" applyAlignment="1"/>
    <xf numFmtId="0" fontId="26" fillId="0" borderId="52" xfId="6" applyFont="1" applyBorder="1" applyAlignment="1"/>
    <xf numFmtId="0" fontId="16" fillId="0" borderId="19" xfId="6" applyFont="1" applyFill="1" applyBorder="1" applyAlignment="1"/>
    <xf numFmtId="0" fontId="16" fillId="0" borderId="15" xfId="6" applyFont="1" applyFill="1" applyBorder="1" applyAlignment="1"/>
    <xf numFmtId="0" fontId="26" fillId="0" borderId="20" xfId="6" applyFont="1" applyFill="1" applyBorder="1" applyAlignment="1"/>
    <xf numFmtId="0" fontId="26" fillId="0" borderId="15" xfId="6" applyFont="1" applyFill="1" applyBorder="1" applyAlignment="1"/>
    <xf numFmtId="0" fontId="16" fillId="0" borderId="21" xfId="6" applyFont="1" applyFill="1" applyBorder="1" applyAlignment="1"/>
    <xf numFmtId="0" fontId="26" fillId="0" borderId="22" xfId="6" applyFont="1" applyFill="1" applyBorder="1" applyAlignment="1"/>
    <xf numFmtId="0" fontId="26" fillId="0" borderId="23" xfId="6" applyFont="1" applyFill="1" applyBorder="1" applyAlignment="1"/>
    <xf numFmtId="0" fontId="26" fillId="0" borderId="24" xfId="6" applyFont="1" applyFill="1" applyBorder="1" applyAlignment="1"/>
    <xf numFmtId="0" fontId="16" fillId="0" borderId="62" xfId="6" applyFont="1" applyFill="1" applyBorder="1" applyAlignment="1"/>
    <xf numFmtId="0" fontId="16" fillId="0" borderId="24" xfId="6" applyFont="1" applyFill="1" applyBorder="1" applyAlignment="1"/>
    <xf numFmtId="0" fontId="26" fillId="0" borderId="63" xfId="6" applyFont="1" applyFill="1" applyBorder="1" applyAlignment="1"/>
    <xf numFmtId="0" fontId="26" fillId="6" borderId="63" xfId="6" applyFont="1" applyFill="1" applyBorder="1" applyAlignment="1"/>
    <xf numFmtId="0" fontId="16" fillId="0" borderId="64" xfId="6" applyFont="1" applyFill="1" applyBorder="1" applyAlignment="1"/>
    <xf numFmtId="0" fontId="16" fillId="0" borderId="65" xfId="6" applyFont="1" applyFill="1" applyBorder="1" applyAlignment="1"/>
    <xf numFmtId="0" fontId="26" fillId="0" borderId="61" xfId="0" applyFont="1" applyFill="1" applyBorder="1" applyAlignment="1"/>
    <xf numFmtId="0" fontId="16" fillId="0" borderId="24" xfId="6" applyFont="1" applyBorder="1" applyAlignment="1"/>
    <xf numFmtId="0" fontId="16" fillId="0" borderId="52" xfId="6" applyFont="1" applyBorder="1" applyAlignment="1"/>
    <xf numFmtId="0" fontId="16" fillId="0" borderId="52" xfId="6" applyFont="1" applyFill="1" applyBorder="1" applyAlignment="1"/>
    <xf numFmtId="0" fontId="16" fillId="9" borderId="52" xfId="6" applyFont="1" applyFill="1" applyBorder="1" applyAlignment="1"/>
    <xf numFmtId="0" fontId="16" fillId="0" borderId="2" xfId="6" applyFont="1" applyFill="1" applyBorder="1" applyAlignment="1"/>
    <xf numFmtId="0" fontId="16" fillId="0" borderId="66" xfId="6" applyFont="1" applyFill="1" applyBorder="1" applyAlignment="1"/>
    <xf numFmtId="0" fontId="26" fillId="9" borderId="22" xfId="6" applyFont="1" applyFill="1" applyBorder="1" applyAlignment="1"/>
    <xf numFmtId="0" fontId="26" fillId="0" borderId="60" xfId="6" applyFont="1" applyFill="1" applyBorder="1" applyAlignment="1"/>
    <xf numFmtId="0" fontId="26" fillId="0" borderId="19" xfId="6" applyFont="1" applyFill="1" applyBorder="1" applyAlignment="1"/>
    <xf numFmtId="0" fontId="26" fillId="0" borderId="55" xfId="6" applyFont="1" applyBorder="1" applyAlignment="1"/>
    <xf numFmtId="0" fontId="26" fillId="0" borderId="22" xfId="6" applyFont="1" applyBorder="1" applyAlignment="1"/>
    <xf numFmtId="0" fontId="26" fillId="0" borderId="21" xfId="6" applyFont="1" applyFill="1" applyBorder="1" applyAlignment="1"/>
    <xf numFmtId="0" fontId="16" fillId="0" borderId="52" xfId="2" applyFont="1" applyFill="1" applyBorder="1" applyAlignment="1"/>
    <xf numFmtId="0" fontId="26" fillId="9" borderId="0" xfId="6" applyFont="1" applyFill="1" applyAlignment="1"/>
    <xf numFmtId="0" fontId="16" fillId="9" borderId="0" xfId="6" applyFont="1" applyFill="1" applyAlignment="1"/>
    <xf numFmtId="0" fontId="26" fillId="0" borderId="0" xfId="6" applyFont="1" applyFill="1" applyAlignment="1"/>
    <xf numFmtId="0" fontId="16" fillId="6" borderId="0" xfId="6" applyFont="1" applyFill="1" applyAlignment="1"/>
    <xf numFmtId="0" fontId="26" fillId="6" borderId="0" xfId="6" applyFont="1" applyFill="1" applyAlignment="1"/>
    <xf numFmtId="0" fontId="33" fillId="6" borderId="51" xfId="1" applyFont="1" applyFill="1" applyBorder="1" applyAlignment="1"/>
    <xf numFmtId="0" fontId="33" fillId="4" borderId="53" xfId="1" applyFont="1" applyFill="1" applyBorder="1" applyAlignment="1"/>
    <xf numFmtId="0" fontId="30" fillId="9" borderId="50" xfId="1" applyFont="1" applyFill="1" applyBorder="1" applyAlignment="1"/>
    <xf numFmtId="0" fontId="26" fillId="11" borderId="0" xfId="6" quotePrefix="1" applyNumberFormat="1" applyFont="1" applyFill="1" applyAlignment="1"/>
    <xf numFmtId="0" fontId="26" fillId="11" borderId="0" xfId="6" applyFont="1" applyFill="1" applyBorder="1" applyAlignment="1"/>
    <xf numFmtId="0" fontId="16" fillId="11" borderId="49" xfId="6" applyFont="1" applyFill="1" applyBorder="1" applyAlignment="1"/>
    <xf numFmtId="0" fontId="26" fillId="11" borderId="0" xfId="6" quotePrefix="1" applyNumberFormat="1" applyFont="1" applyFill="1" applyBorder="1" applyAlignment="1"/>
    <xf numFmtId="0" fontId="16" fillId="11" borderId="0" xfId="6" applyFont="1" applyFill="1" applyBorder="1" applyAlignment="1"/>
    <xf numFmtId="165" fontId="26" fillId="11" borderId="0" xfId="6" applyNumberFormat="1" applyFont="1" applyFill="1" applyBorder="1" applyAlignment="1">
      <alignment horizontal="left"/>
    </xf>
    <xf numFmtId="0" fontId="26" fillId="0" borderId="0" xfId="6" applyNumberFormat="1" applyFont="1" applyAlignment="1"/>
    <xf numFmtId="0" fontId="16" fillId="0" borderId="0" xfId="6" applyNumberFormat="1" applyFont="1" applyBorder="1" applyAlignment="1"/>
    <xf numFmtId="0" fontId="16" fillId="6" borderId="1" xfId="6" applyNumberFormat="1" applyFont="1" applyFill="1" applyBorder="1" applyAlignment="1"/>
    <xf numFmtId="0" fontId="16" fillId="0" borderId="1" xfId="6" applyNumberFormat="1" applyFont="1" applyBorder="1" applyAlignment="1"/>
    <xf numFmtId="0" fontId="16" fillId="6" borderId="0" xfId="6" applyNumberFormat="1" applyFont="1" applyFill="1" applyAlignment="1"/>
    <xf numFmtId="0" fontId="26" fillId="0" borderId="1" xfId="6" applyNumberFormat="1" applyFont="1" applyFill="1" applyBorder="1" applyAlignment="1"/>
    <xf numFmtId="49" fontId="26" fillId="0" borderId="1" xfId="6" applyNumberFormat="1" applyFont="1" applyFill="1" applyBorder="1" applyAlignment="1"/>
    <xf numFmtId="0" fontId="26" fillId="0" borderId="1" xfId="0" applyNumberFormat="1" applyFont="1" applyBorder="1" applyAlignment="1"/>
    <xf numFmtId="164" fontId="26" fillId="0" borderId="1" xfId="6" applyNumberFormat="1" applyFont="1" applyFill="1" applyBorder="1" applyAlignment="1">
      <alignment horizontal="center"/>
    </xf>
    <xf numFmtId="166" fontId="26" fillId="0" borderId="1" xfId="6" applyNumberFormat="1" applyFont="1" applyFill="1" applyBorder="1" applyAlignment="1">
      <alignment horizontal="center"/>
    </xf>
    <xf numFmtId="49" fontId="16" fillId="6" borderId="1" xfId="6" applyNumberFormat="1" applyFont="1" applyFill="1" applyBorder="1" applyAlignment="1"/>
    <xf numFmtId="166" fontId="16" fillId="6" borderId="1" xfId="6" applyNumberFormat="1" applyFont="1" applyFill="1" applyBorder="1" applyAlignment="1">
      <alignment horizontal="center"/>
    </xf>
    <xf numFmtId="166" fontId="16" fillId="0" borderId="1" xfId="6" applyNumberFormat="1" applyFont="1" applyBorder="1" applyAlignment="1">
      <alignment horizontal="center"/>
    </xf>
    <xf numFmtId="0" fontId="26" fillId="0" borderId="0" xfId="12" applyFont="1" applyFill="1" applyBorder="1" applyAlignment="1"/>
    <xf numFmtId="0" fontId="16" fillId="5" borderId="0" xfId="6" applyFont="1" applyFill="1" applyAlignment="1"/>
    <xf numFmtId="0" fontId="33" fillId="0" borderId="1" xfId="1" applyFont="1" applyFill="1" applyBorder="1" applyAlignment="1"/>
    <xf numFmtId="0" fontId="33" fillId="6" borderId="1" xfId="1" applyFont="1" applyFill="1" applyBorder="1" applyAlignment="1"/>
    <xf numFmtId="0" fontId="30" fillId="0" borderId="1" xfId="1" applyFont="1" applyFill="1" applyBorder="1" applyAlignment="1"/>
    <xf numFmtId="0" fontId="16" fillId="0" borderId="1" xfId="6" applyFont="1" applyBorder="1" applyAlignment="1"/>
    <xf numFmtId="0" fontId="16" fillId="4" borderId="1" xfId="6" applyFont="1" applyFill="1" applyBorder="1" applyAlignment="1"/>
    <xf numFmtId="0" fontId="16" fillId="8" borderId="1" xfId="6" applyFont="1" applyFill="1" applyBorder="1" applyAlignment="1"/>
    <xf numFmtId="0" fontId="16" fillId="0" borderId="0" xfId="6" applyFont="1" applyAlignment="1">
      <alignment vertical="top"/>
    </xf>
    <xf numFmtId="0" fontId="26" fillId="0" borderId="15" xfId="0" applyFont="1" applyFill="1" applyBorder="1" applyAlignment="1"/>
    <xf numFmtId="0" fontId="26" fillId="0" borderId="53" xfId="0" applyFont="1" applyFill="1" applyBorder="1" applyAlignment="1"/>
    <xf numFmtId="0" fontId="16" fillId="0" borderId="0" xfId="6" applyFont="1" applyBorder="1" applyAlignment="1">
      <alignment vertical="top"/>
    </xf>
    <xf numFmtId="0" fontId="0" fillId="0" borderId="0" xfId="0" applyFont="1" applyFill="1" applyBorder="1" applyAlignment="1"/>
    <xf numFmtId="0" fontId="26" fillId="12" borderId="55" xfId="6" applyFont="1" applyFill="1" applyBorder="1" applyAlignment="1"/>
    <xf numFmtId="0" fontId="26" fillId="12" borderId="52" xfId="6" applyFont="1" applyFill="1" applyBorder="1" applyAlignment="1"/>
    <xf numFmtId="0" fontId="16" fillId="0" borderId="54" xfId="6" applyFont="1" applyFill="1" applyBorder="1" applyAlignment="1"/>
    <xf numFmtId="0" fontId="26" fillId="13" borderId="55" xfId="6" applyFont="1" applyFill="1" applyBorder="1" applyAlignment="1"/>
    <xf numFmtId="0" fontId="26" fillId="13" borderId="52" xfId="6" applyFont="1" applyFill="1" applyBorder="1" applyAlignment="1"/>
    <xf numFmtId="0" fontId="0" fillId="0" borderId="0" xfId="0" applyFont="1" applyFill="1" applyBorder="1" applyAlignment="1"/>
    <xf numFmtId="0" fontId="16" fillId="14" borderId="1" xfId="8" applyNumberFormat="1" applyFont="1" applyFill="1" applyBorder="1" applyAlignment="1">
      <alignment vertical="center"/>
    </xf>
    <xf numFmtId="0" fontId="26" fillId="0" borderId="0" xfId="12" applyFont="1" applyFill="1" applyBorder="1" applyAlignment="1">
      <alignment horizontal="center"/>
    </xf>
    <xf numFmtId="0" fontId="26" fillId="5" borderId="0" xfId="12" applyFont="1" applyFill="1" applyAlignment="1"/>
    <xf numFmtId="0" fontId="34" fillId="0" borderId="0" xfId="12" applyFont="1" applyFill="1" applyBorder="1" applyAlignment="1"/>
    <xf numFmtId="0" fontId="16" fillId="4" borderId="0" xfId="12" applyFont="1" applyFill="1" applyAlignment="1"/>
    <xf numFmtId="0" fontId="16" fillId="8" borderId="0" xfId="12" applyFont="1" applyFill="1" applyAlignment="1"/>
    <xf numFmtId="0" fontId="34" fillId="0" borderId="1" xfId="12" applyFont="1" applyFill="1" applyBorder="1" applyAlignment="1"/>
    <xf numFmtId="0" fontId="16" fillId="0" borderId="1" xfId="8" applyFont="1" applyFill="1" applyBorder="1" applyAlignment="1">
      <alignment textRotation="90"/>
    </xf>
    <xf numFmtId="0" fontId="16" fillId="0" borderId="1" xfId="12" applyFont="1" applyFill="1" applyBorder="1" applyAlignment="1">
      <alignment textRotation="90"/>
    </xf>
    <xf numFmtId="0" fontId="26" fillId="0" borderId="1" xfId="12" applyFont="1" applyFill="1" applyBorder="1" applyAlignment="1">
      <alignment horizontal="center"/>
    </xf>
    <xf numFmtId="0" fontId="26" fillId="0" borderId="1" xfId="12" applyFont="1" applyFill="1" applyBorder="1" applyAlignment="1"/>
    <xf numFmtId="0" fontId="16" fillId="0" borderId="1" xfId="8" applyFont="1" applyFill="1" applyBorder="1" applyAlignment="1">
      <alignment horizontal="center"/>
    </xf>
    <xf numFmtId="0" fontId="16" fillId="0" borderId="1" xfId="8" applyFont="1" applyBorder="1" applyAlignment="1"/>
    <xf numFmtId="0" fontId="16" fillId="0" borderId="1" xfId="20" applyFont="1" applyFill="1" applyBorder="1" applyAlignment="1">
      <alignment horizontal="center"/>
    </xf>
    <xf numFmtId="0" fontId="16" fillId="0" borderId="1" xfId="12" applyFont="1" applyFill="1" applyBorder="1" applyAlignment="1">
      <alignment horizontal="center"/>
    </xf>
    <xf numFmtId="166" fontId="16" fillId="0" borderId="0" xfId="12" applyNumberFormat="1" applyFont="1" applyFill="1" applyBorder="1" applyAlignment="1">
      <alignment horizontal="center"/>
    </xf>
    <xf numFmtId="166" fontId="16" fillId="0" borderId="0" xfId="12" applyNumberFormat="1" applyFont="1" applyFill="1" applyAlignment="1">
      <alignment horizontal="center"/>
    </xf>
    <xf numFmtId="0" fontId="26" fillId="0" borderId="0" xfId="12" applyFont="1" applyFill="1" applyAlignment="1">
      <alignment horizontal="center"/>
    </xf>
    <xf numFmtId="0" fontId="16" fillId="0" borderId="0" xfId="8" applyFont="1" applyBorder="1" applyAlignment="1"/>
    <xf numFmtId="166" fontId="16" fillId="0" borderId="0" xfId="8" applyNumberFormat="1" applyFont="1" applyFill="1" applyBorder="1" applyAlignment="1">
      <alignment horizontal="center"/>
    </xf>
    <xf numFmtId="0" fontId="26" fillId="4" borderId="0" xfId="12" applyFont="1" applyFill="1" applyAlignment="1"/>
    <xf numFmtId="0" fontId="16" fillId="4" borderId="0" xfId="12" applyFont="1" applyFill="1" applyAlignment="1">
      <alignment horizontal="right"/>
    </xf>
    <xf numFmtId="0" fontId="26" fillId="4" borderId="0" xfId="12" applyFont="1" applyFill="1" applyAlignment="1">
      <alignment horizontal="center"/>
    </xf>
    <xf numFmtId="166" fontId="16" fillId="4" borderId="0" xfId="12" applyNumberFormat="1" applyFont="1" applyFill="1" applyAlignment="1">
      <alignment horizontal="center"/>
    </xf>
    <xf numFmtId="166" fontId="26" fillId="4" borderId="0" xfId="12" applyNumberFormat="1" applyFont="1" applyFill="1" applyAlignment="1"/>
    <xf numFmtId="0" fontId="16" fillId="4" borderId="0" xfId="12" applyFont="1" applyFill="1" applyAlignment="1">
      <alignment horizontal="center"/>
    </xf>
    <xf numFmtId="0" fontId="16" fillId="0" borderId="0" xfId="12" applyFont="1" applyFill="1" applyAlignment="1">
      <alignment horizontal="center"/>
    </xf>
    <xf numFmtId="0" fontId="26" fillId="0" borderId="0" xfId="12" applyFont="1" applyFill="1" applyAlignment="1"/>
    <xf numFmtId="0" fontId="34" fillId="0" borderId="0" xfId="12" applyFont="1" applyFill="1" applyAlignment="1"/>
    <xf numFmtId="0" fontId="33" fillId="0" borderId="0" xfId="12" applyFont="1" applyFill="1" applyAlignment="1"/>
    <xf numFmtId="0" fontId="16" fillId="0" borderId="0" xfId="8" applyFont="1" applyAlignment="1"/>
    <xf numFmtId="0" fontId="26" fillId="0" borderId="0" xfId="21" applyFont="1" applyBorder="1" applyAlignment="1"/>
    <xf numFmtId="0" fontId="16" fillId="0" borderId="0" xfId="21" applyFont="1" applyBorder="1" applyAlignment="1"/>
    <xf numFmtId="0" fontId="16" fillId="0" borderId="0" xfId="8" applyFont="1" applyFill="1" applyAlignment="1">
      <alignment textRotation="90"/>
    </xf>
    <xf numFmtId="0" fontId="26" fillId="5" borderId="0" xfId="8" applyFont="1" applyFill="1" applyAlignment="1"/>
    <xf numFmtId="0" fontId="16" fillId="0" borderId="0" xfId="8" applyFont="1" applyFill="1" applyAlignment="1"/>
    <xf numFmtId="0" fontId="34" fillId="0" borderId="0" xfId="21" applyFont="1" applyBorder="1" applyAlignment="1"/>
    <xf numFmtId="0" fontId="16" fillId="4" borderId="0" xfId="8" applyFont="1" applyFill="1" applyAlignment="1"/>
    <xf numFmtId="0" fontId="16" fillId="8" borderId="0" xfId="8" applyFont="1" applyFill="1" applyAlignment="1"/>
    <xf numFmtId="0" fontId="16" fillId="0" borderId="1" xfId="21" applyFont="1" applyBorder="1" applyAlignment="1">
      <alignment horizontal="center"/>
    </xf>
    <xf numFmtId="0" fontId="16" fillId="0" borderId="1" xfId="8" applyFont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26" fillId="0" borderId="0" xfId="8" applyFont="1" applyFill="1" applyAlignment="1">
      <alignment horizontal="center"/>
    </xf>
    <xf numFmtId="0" fontId="16" fillId="0" borderId="14" xfId="8" applyFont="1" applyFill="1" applyBorder="1" applyAlignment="1">
      <alignment textRotation="90"/>
    </xf>
    <xf numFmtId="0" fontId="16" fillId="0" borderId="0" xfId="8" applyFont="1" applyFill="1" applyAlignment="1">
      <alignment horizontal="center" textRotation="90"/>
    </xf>
    <xf numFmtId="166" fontId="26" fillId="0" borderId="1" xfId="8" applyNumberFormat="1" applyFont="1" applyFill="1" applyBorder="1" applyAlignment="1">
      <alignment horizontal="center"/>
    </xf>
    <xf numFmtId="0" fontId="16" fillId="0" borderId="1" xfId="21" applyFont="1" applyFill="1" applyBorder="1" applyAlignment="1">
      <alignment horizontal="center"/>
    </xf>
    <xf numFmtId="166" fontId="16" fillId="0" borderId="0" xfId="8" applyNumberFormat="1" applyFont="1" applyFill="1" applyAlignment="1">
      <alignment horizontal="center"/>
    </xf>
    <xf numFmtId="0" fontId="26" fillId="4" borderId="0" xfId="8" applyFont="1" applyFill="1" applyAlignment="1"/>
    <xf numFmtId="0" fontId="16" fillId="4" borderId="0" xfId="8" applyFont="1" applyFill="1" applyAlignment="1">
      <alignment horizontal="right"/>
    </xf>
    <xf numFmtId="0" fontId="26" fillId="4" borderId="0" xfId="8" applyFont="1" applyFill="1" applyAlignment="1">
      <alignment horizontal="center"/>
    </xf>
    <xf numFmtId="166" fontId="16" fillId="4" borderId="0" xfId="8" applyNumberFormat="1" applyFont="1" applyFill="1" applyAlignment="1">
      <alignment horizontal="center"/>
    </xf>
    <xf numFmtId="166" fontId="26" fillId="4" borderId="0" xfId="8" applyNumberFormat="1" applyFont="1" applyFill="1" applyAlignment="1"/>
    <xf numFmtId="0" fontId="16" fillId="4" borderId="0" xfId="8" applyFont="1" applyFill="1" applyAlignment="1">
      <alignment horizontal="center"/>
    </xf>
    <xf numFmtId="0" fontId="16" fillId="0" borderId="0" xfId="8" applyFont="1" applyFill="1" applyAlignment="1">
      <alignment horizontal="center"/>
    </xf>
    <xf numFmtId="169" fontId="29" fillId="0" borderId="1" xfId="8" applyNumberFormat="1" applyFont="1" applyFill="1" applyBorder="1" applyAlignment="1">
      <alignment horizontal="center"/>
    </xf>
    <xf numFmtId="0" fontId="16" fillId="0" borderId="0" xfId="8" applyFont="1" applyFill="1" applyBorder="1" applyAlignment="1"/>
    <xf numFmtId="0" fontId="26" fillId="0" borderId="1" xfId="6" applyFont="1" applyBorder="1"/>
    <xf numFmtId="0" fontId="26" fillId="0" borderId="0" xfId="6" applyFont="1" applyBorder="1"/>
    <xf numFmtId="49" fontId="16" fillId="0" borderId="0" xfId="6" applyNumberFormat="1" applyFont="1" applyFill="1" applyBorder="1" applyAlignment="1"/>
    <xf numFmtId="0" fontId="16" fillId="0" borderId="0" xfId="6" applyFont="1" applyFill="1" applyBorder="1" applyAlignment="1">
      <alignment horizontal="center"/>
    </xf>
    <xf numFmtId="49" fontId="16" fillId="0" borderId="0" xfId="6" applyNumberFormat="1" applyFont="1" applyFill="1" applyBorder="1" applyAlignment="1">
      <alignment horizontal="center"/>
    </xf>
    <xf numFmtId="0" fontId="16" fillId="0" borderId="0" xfId="15" applyFont="1"/>
    <xf numFmtId="0" fontId="0" fillId="0" borderId="0" xfId="0" applyFont="1"/>
    <xf numFmtId="0" fontId="16" fillId="0" borderId="0" xfId="8" applyFont="1" applyFill="1" applyBorder="1" applyAlignment="1">
      <alignment horizontal="center"/>
    </xf>
    <xf numFmtId="0" fontId="16" fillId="0" borderId="5" xfId="8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6" fontId="16" fillId="0" borderId="3" xfId="8" applyNumberFormat="1" applyFont="1" applyFill="1" applyBorder="1" applyAlignment="1">
      <alignment horizontal="center"/>
    </xf>
    <xf numFmtId="0" fontId="26" fillId="0" borderId="0" xfId="8" applyFont="1" applyFill="1" applyBorder="1" applyAlignment="1">
      <alignment horizontal="center"/>
    </xf>
    <xf numFmtId="0" fontId="26" fillId="0" borderId="0" xfId="8" applyFont="1" applyBorder="1" applyAlignment="1"/>
    <xf numFmtId="0" fontId="16" fillId="0" borderId="0" xfId="21" applyFont="1" applyBorder="1"/>
    <xf numFmtId="0" fontId="34" fillId="15" borderId="0" xfId="7" applyFont="1" applyFill="1" applyBorder="1" applyAlignment="1">
      <alignment horizontal="left" vertical="top"/>
    </xf>
    <xf numFmtId="0" fontId="16" fillId="6" borderId="1" xfId="8" applyFont="1" applyFill="1" applyBorder="1" applyAlignment="1">
      <alignment horizontal="center" vertical="center"/>
    </xf>
    <xf numFmtId="169" fontId="29" fillId="0" borderId="0" xfId="8" applyNumberFormat="1" applyFont="1" applyFill="1" applyBorder="1" applyAlignment="1">
      <alignment horizontal="center"/>
    </xf>
    <xf numFmtId="0" fontId="16" fillId="0" borderId="0" xfId="21" applyFont="1" applyFill="1" applyBorder="1" applyAlignment="1">
      <alignment horizontal="center"/>
    </xf>
    <xf numFmtId="0" fontId="16" fillId="9" borderId="1" xfId="8" applyNumberFormat="1" applyFont="1" applyFill="1" applyBorder="1" applyAlignment="1">
      <alignment textRotation="90"/>
    </xf>
    <xf numFmtId="0" fontId="18" fillId="0" borderId="0" xfId="1" applyAlignment="1"/>
    <xf numFmtId="0" fontId="26" fillId="13" borderId="63" xfId="6" applyFont="1" applyFill="1" applyBorder="1" applyAlignment="1"/>
    <xf numFmtId="0" fontId="16" fillId="13" borderId="54" xfId="6" applyFont="1" applyFill="1" applyBorder="1" applyAlignment="1"/>
    <xf numFmtId="0" fontId="26" fillId="13" borderId="0" xfId="6" applyFont="1" applyFill="1" applyBorder="1" applyAlignment="1"/>
    <xf numFmtId="0" fontId="0" fillId="0" borderId="0" xfId="0" applyFont="1"/>
    <xf numFmtId="0" fontId="26" fillId="9" borderId="54" xfId="6" applyFont="1" applyFill="1" applyBorder="1" applyAlignment="1"/>
    <xf numFmtId="0" fontId="30" fillId="9" borderId="53" xfId="1" applyFont="1" applyFill="1" applyBorder="1" applyAlignment="1"/>
    <xf numFmtId="0" fontId="26" fillId="9" borderId="0" xfId="6" applyFont="1" applyFill="1" applyAlignment="1">
      <alignment vertical="top"/>
    </xf>
    <xf numFmtId="0" fontId="26" fillId="4" borderId="55" xfId="6" applyFont="1" applyFill="1" applyBorder="1" applyAlignment="1"/>
    <xf numFmtId="0" fontId="30" fillId="9" borderId="49" xfId="1" applyFont="1" applyFill="1" applyBorder="1" applyAlignment="1"/>
    <xf numFmtId="0" fontId="16" fillId="0" borderId="1" xfId="6" applyNumberFormat="1" applyFont="1" applyFill="1" applyBorder="1" applyAlignment="1"/>
    <xf numFmtId="164" fontId="16" fillId="13" borderId="1" xfId="6" applyNumberFormat="1" applyFont="1" applyFill="1" applyBorder="1" applyAlignment="1">
      <alignment horizontal="center"/>
    </xf>
    <xf numFmtId="166" fontId="16" fillId="13" borderId="1" xfId="6" applyNumberFormat="1" applyFont="1" applyFill="1" applyBorder="1" applyAlignment="1">
      <alignment horizontal="center"/>
    </xf>
    <xf numFmtId="0" fontId="26" fillId="0" borderId="1" xfId="2" applyFont="1" applyFill="1" applyBorder="1" applyAlignment="1"/>
    <xf numFmtId="0" fontId="16" fillId="11" borderId="0" xfId="6" applyNumberFormat="1" applyFont="1" applyFill="1" applyAlignment="1"/>
    <xf numFmtId="0" fontId="34" fillId="0" borderId="0" xfId="9" applyFont="1" applyFill="1" applyBorder="1" applyAlignment="1"/>
    <xf numFmtId="0" fontId="16" fillId="13" borderId="1" xfId="6" applyNumberFormat="1" applyFont="1" applyFill="1" applyBorder="1" applyAlignment="1"/>
    <xf numFmtId="0" fontId="33" fillId="13" borderId="50" xfId="2" applyFont="1" applyFill="1" applyBorder="1" applyAlignment="1"/>
    <xf numFmtId="0" fontId="26" fillId="16" borderId="55" xfId="6" applyFont="1" applyFill="1" applyBorder="1" applyAlignment="1"/>
    <xf numFmtId="0" fontId="16" fillId="13" borderId="0" xfId="6" applyFont="1" applyFill="1" applyAlignment="1"/>
    <xf numFmtId="0" fontId="16" fillId="13" borderId="0" xfId="6" applyFont="1" applyFill="1" applyAlignment="1"/>
    <xf numFmtId="0" fontId="16" fillId="13" borderId="0" xfId="6" applyNumberFormat="1" applyFont="1" applyFill="1" applyAlignment="1"/>
    <xf numFmtId="0" fontId="16" fillId="13" borderId="50" xfId="6" applyFont="1" applyFill="1" applyBorder="1" applyAlignment="1"/>
    <xf numFmtId="0" fontId="26" fillId="9" borderId="54" xfId="6" applyFont="1" applyFill="1" applyBorder="1" applyAlignment="1">
      <alignment vertical="top"/>
    </xf>
    <xf numFmtId="0" fontId="0" fillId="0" borderId="54" xfId="0" applyFont="1" applyFill="1" applyBorder="1" applyAlignment="1"/>
    <xf numFmtId="0" fontId="33" fillId="13" borderId="1" xfId="1" applyNumberFormat="1" applyFont="1" applyFill="1" applyBorder="1" applyAlignment="1"/>
    <xf numFmtId="0" fontId="16" fillId="0" borderId="0" xfId="6" applyFont="1" applyAlignment="1">
      <alignment vertical="top"/>
    </xf>
    <xf numFmtId="0" fontId="36" fillId="9" borderId="1" xfId="1" applyFont="1" applyFill="1" applyBorder="1" applyAlignment="1">
      <alignment horizontal="center"/>
    </xf>
    <xf numFmtId="0" fontId="18" fillId="6" borderId="1" xfId="1" applyFill="1" applyBorder="1" applyAlignment="1">
      <alignment horizontal="center"/>
    </xf>
    <xf numFmtId="0" fontId="36" fillId="0" borderId="1" xfId="1" applyFont="1" applyFill="1" applyBorder="1" applyAlignment="1"/>
    <xf numFmtId="0" fontId="37" fillId="0" borderId="1" xfId="1" applyFont="1" applyFill="1" applyBorder="1" applyAlignment="1"/>
    <xf numFmtId="0" fontId="36" fillId="6" borderId="1" xfId="1" applyFont="1" applyFill="1" applyBorder="1" applyAlignment="1"/>
    <xf numFmtId="0" fontId="38" fillId="0" borderId="0" xfId="6" applyNumberFormat="1" applyFont="1" applyAlignment="1"/>
    <xf numFmtId="0" fontId="36" fillId="16" borderId="1" xfId="1" applyFont="1" applyFill="1" applyBorder="1" applyAlignment="1"/>
    <xf numFmtId="0" fontId="36" fillId="0" borderId="0" xfId="2" applyNumberFormat="1" applyFont="1" applyBorder="1" applyAlignment="1"/>
    <xf numFmtId="0" fontId="36" fillId="14" borderId="1" xfId="1" applyFont="1" applyFill="1" applyBorder="1" applyAlignment="1">
      <alignment horizontal="center"/>
    </xf>
    <xf numFmtId="0" fontId="26" fillId="0" borderId="1" xfId="19" applyFont="1" applyBorder="1"/>
    <xf numFmtId="0" fontId="26" fillId="0" borderId="1" xfId="19" applyFont="1" applyBorder="1" applyAlignment="1">
      <alignment horizontal="center"/>
    </xf>
    <xf numFmtId="0" fontId="16" fillId="0" borderId="1" xfId="19" applyFont="1" applyBorder="1"/>
    <xf numFmtId="0" fontId="16" fillId="7" borderId="1" xfId="19" applyFont="1" applyFill="1" applyBorder="1" applyAlignment="1">
      <alignment horizontal="center"/>
    </xf>
    <xf numFmtId="0" fontId="16" fillId="0" borderId="1" xfId="19" applyFont="1" applyBorder="1" applyAlignment="1">
      <alignment horizontal="center"/>
    </xf>
    <xf numFmtId="0" fontId="2" fillId="0" borderId="1" xfId="19" applyFont="1" applyBorder="1" applyAlignment="1">
      <alignment horizontal="center"/>
    </xf>
    <xf numFmtId="0" fontId="16" fillId="0" borderId="0" xfId="19" applyFont="1" applyBorder="1" applyAlignment="1">
      <alignment horizontal="right"/>
    </xf>
    <xf numFmtId="49" fontId="16" fillId="0" borderId="0" xfId="19" applyNumberFormat="1" applyFont="1" applyBorder="1" applyAlignment="1">
      <alignment horizontal="center"/>
    </xf>
    <xf numFmtId="0" fontId="9" fillId="0" borderId="0" xfId="8" applyFont="1" applyAlignment="1"/>
    <xf numFmtId="0" fontId="3" fillId="0" borderId="0" xfId="8" applyFont="1" applyAlignment="1">
      <alignment horizontal="right"/>
    </xf>
    <xf numFmtId="0" fontId="2" fillId="0" borderId="0" xfId="8" applyFont="1" applyAlignment="1">
      <alignment horizontal="left"/>
    </xf>
    <xf numFmtId="0" fontId="2" fillId="0" borderId="0" xfId="8" applyFont="1" applyAlignment="1">
      <alignment horizontal="right"/>
    </xf>
    <xf numFmtId="0" fontId="2" fillId="0" borderId="3" xfId="8" applyFont="1" applyBorder="1" applyAlignment="1"/>
    <xf numFmtId="0" fontId="2" fillId="0" borderId="4" xfId="8" applyFont="1" applyBorder="1" applyAlignment="1"/>
    <xf numFmtId="0" fontId="2" fillId="0" borderId="5" xfId="8" applyFont="1" applyBorder="1" applyAlignment="1"/>
    <xf numFmtId="0" fontId="2" fillId="0" borderId="11" xfId="8" applyFont="1" applyFill="1" applyBorder="1" applyAlignment="1"/>
    <xf numFmtId="0" fontId="2" fillId="0" borderId="14" xfId="8" applyFont="1" applyBorder="1" applyAlignment="1">
      <alignment horizontal="left"/>
    </xf>
    <xf numFmtId="0" fontId="2" fillId="0" borderId="8" xfId="8" applyFont="1" applyBorder="1" applyAlignment="1"/>
    <xf numFmtId="0" fontId="2" fillId="0" borderId="0" xfId="8" applyFont="1" applyBorder="1" applyAlignment="1"/>
    <xf numFmtId="0" fontId="2" fillId="0" borderId="7" xfId="8" applyFont="1" applyBorder="1" applyAlignment="1"/>
    <xf numFmtId="0" fontId="2" fillId="0" borderId="5" xfId="8" applyFont="1" applyFill="1" applyBorder="1" applyAlignment="1"/>
    <xf numFmtId="0" fontId="2" fillId="0" borderId="0" xfId="8" applyFont="1" applyBorder="1" applyAlignment="1">
      <alignment horizontal="left"/>
    </xf>
    <xf numFmtId="0" fontId="2" fillId="0" borderId="14" xfId="8" applyFont="1" applyBorder="1" applyAlignment="1"/>
    <xf numFmtId="0" fontId="2" fillId="0" borderId="11" xfId="8" applyFont="1" applyBorder="1" applyAlignment="1"/>
    <xf numFmtId="0" fontId="2" fillId="0" borderId="10" xfId="8" applyFont="1" applyBorder="1" applyAlignment="1">
      <alignment horizontal="left"/>
    </xf>
    <xf numFmtId="0" fontId="2" fillId="0" borderId="16" xfId="8" applyFont="1" applyBorder="1" applyAlignment="1"/>
    <xf numFmtId="0" fontId="3" fillId="0" borderId="15" xfId="8" applyFont="1" applyBorder="1" applyAlignment="1"/>
    <xf numFmtId="0" fontId="2" fillId="0" borderId="15" xfId="8" applyFont="1" applyBorder="1" applyAlignment="1"/>
    <xf numFmtId="0" fontId="2" fillId="0" borderId="2" xfId="8" applyFont="1" applyBorder="1" applyAlignment="1"/>
    <xf numFmtId="0" fontId="3" fillId="0" borderId="0" xfId="8" applyFont="1" applyBorder="1" applyAlignment="1"/>
    <xf numFmtId="0" fontId="3" fillId="0" borderId="0" xfId="8" applyFont="1" applyAlignment="1"/>
    <xf numFmtId="0" fontId="16" fillId="0" borderId="6" xfId="6" applyFont="1" applyBorder="1" applyAlignment="1"/>
    <xf numFmtId="49" fontId="16" fillId="0" borderId="1" xfId="19" applyNumberFormat="1" applyFont="1" applyBorder="1" applyAlignment="1">
      <alignment horizontal="center"/>
    </xf>
    <xf numFmtId="0" fontId="16" fillId="0" borderId="1" xfId="19" applyFont="1" applyBorder="1" applyAlignment="1">
      <alignment horizontal="center"/>
    </xf>
    <xf numFmtId="0" fontId="3" fillId="0" borderId="1" xfId="19" applyFont="1" applyBorder="1" applyAlignment="1">
      <alignment horizontal="center"/>
    </xf>
    <xf numFmtId="0" fontId="16" fillId="0" borderId="1" xfId="19" applyFont="1" applyBorder="1"/>
    <xf numFmtId="0" fontId="3" fillId="0" borderId="0" xfId="8" applyFont="1" applyAlignment="1">
      <alignment horizontal="left"/>
    </xf>
    <xf numFmtId="0" fontId="3" fillId="0" borderId="10" xfId="8" applyFont="1" applyBorder="1" applyAlignment="1">
      <alignment horizontal="left"/>
    </xf>
    <xf numFmtId="0" fontId="3" fillId="0" borderId="0" xfId="8" applyFont="1" applyBorder="1" applyAlignment="1">
      <alignment horizontal="left"/>
    </xf>
    <xf numFmtId="0" fontId="3" fillId="0" borderId="14" xfId="8" applyFont="1" applyBorder="1" applyAlignment="1">
      <alignment horizontal="left"/>
    </xf>
    <xf numFmtId="0" fontId="26" fillId="0" borderId="0" xfId="6" applyFont="1" applyBorder="1" applyAlignment="1">
      <alignment vertical="top"/>
    </xf>
    <xf numFmtId="0" fontId="26" fillId="0" borderId="65" xfId="6" applyFont="1" applyFill="1" applyBorder="1" applyAlignment="1"/>
    <xf numFmtId="0" fontId="0" fillId="0" borderId="21" xfId="0" applyFont="1" applyFill="1" applyBorder="1" applyAlignment="1"/>
    <xf numFmtId="0" fontId="26" fillId="9" borderId="23" xfId="6" applyFont="1" applyFill="1" applyBorder="1" applyAlignment="1"/>
    <xf numFmtId="49" fontId="16" fillId="0" borderId="1" xfId="19" applyNumberFormat="1" applyFont="1" applyFill="1" applyBorder="1" applyAlignment="1">
      <alignment horizontal="center"/>
    </xf>
    <xf numFmtId="0" fontId="26" fillId="11" borderId="15" xfId="6" quotePrefix="1" applyNumberFormat="1" applyFont="1" applyFill="1" applyBorder="1" applyAlignment="1"/>
    <xf numFmtId="0" fontId="26" fillId="11" borderId="15" xfId="6" applyFont="1" applyFill="1" applyBorder="1" applyAlignment="1"/>
    <xf numFmtId="0" fontId="16" fillId="11" borderId="15" xfId="6" applyFont="1" applyFill="1" applyBorder="1" applyAlignment="1"/>
    <xf numFmtId="0" fontId="26" fillId="0" borderId="1" xfId="6" applyFont="1" applyBorder="1" applyAlignment="1">
      <alignment horizontal="center"/>
    </xf>
    <xf numFmtId="0" fontId="16" fillId="0" borderId="1" xfId="6" applyFont="1" applyFill="1" applyBorder="1" applyAlignment="1">
      <alignment horizontal="center"/>
    </xf>
    <xf numFmtId="0" fontId="26" fillId="0" borderId="1" xfId="6" applyFont="1" applyFill="1" applyBorder="1" applyAlignment="1">
      <alignment horizontal="center"/>
    </xf>
    <xf numFmtId="0" fontId="16" fillId="0" borderId="0" xfId="6" applyFont="1" applyBorder="1" applyAlignment="1">
      <alignment horizontal="center"/>
    </xf>
    <xf numFmtId="49" fontId="16" fillId="0" borderId="0" xfId="6" applyNumberFormat="1" applyFont="1" applyBorder="1" applyAlignment="1">
      <alignment horizontal="center"/>
    </xf>
    <xf numFmtId="0" fontId="30" fillId="0" borderId="0" xfId="9" applyFont="1" applyAlignment="1"/>
    <xf numFmtId="0" fontId="16" fillId="0" borderId="0" xfId="9" applyFont="1" applyAlignment="1"/>
    <xf numFmtId="0" fontId="16" fillId="0" borderId="0" xfId="6" applyFont="1" applyAlignment="1">
      <alignment horizontal="left"/>
    </xf>
    <xf numFmtId="0" fontId="26" fillId="0" borderId="0" xfId="6" applyFont="1" applyAlignment="1">
      <alignment horizontal="right"/>
    </xf>
    <xf numFmtId="0" fontId="16" fillId="0" borderId="3" xfId="6" applyFont="1" applyBorder="1" applyAlignment="1"/>
    <xf numFmtId="0" fontId="16" fillId="0" borderId="4" xfId="6" applyFont="1" applyBorder="1" applyAlignment="1"/>
    <xf numFmtId="0" fontId="16" fillId="0" borderId="5" xfId="6" applyFont="1" applyBorder="1" applyAlignment="1"/>
    <xf numFmtId="0" fontId="26" fillId="0" borderId="14" xfId="6" applyFont="1" applyBorder="1" applyAlignment="1">
      <alignment horizontal="left"/>
    </xf>
    <xf numFmtId="0" fontId="16" fillId="0" borderId="8" xfId="6" applyFont="1" applyBorder="1" applyAlignment="1"/>
    <xf numFmtId="0" fontId="16" fillId="0" borderId="7" xfId="6" applyFont="1" applyBorder="1" applyAlignment="1"/>
    <xf numFmtId="0" fontId="26" fillId="0" borderId="0" xfId="6" applyFont="1" applyBorder="1" applyAlignment="1">
      <alignment horizontal="left"/>
    </xf>
    <xf numFmtId="0" fontId="16" fillId="0" borderId="16" xfId="6" applyFont="1" applyBorder="1" applyAlignment="1"/>
    <xf numFmtId="0" fontId="26" fillId="0" borderId="15" xfId="6" applyFont="1" applyBorder="1" applyAlignment="1"/>
    <xf numFmtId="0" fontId="16" fillId="0" borderId="15" xfId="6" applyFont="1" applyBorder="1" applyAlignment="1"/>
    <xf numFmtId="0" fontId="16" fillId="0" borderId="14" xfId="6" applyFont="1" applyBorder="1" applyAlignment="1"/>
    <xf numFmtId="0" fontId="16" fillId="0" borderId="11" xfId="6" applyFont="1" applyBorder="1" applyAlignment="1"/>
    <xf numFmtId="0" fontId="16" fillId="0" borderId="10" xfId="6" applyFont="1" applyBorder="1" applyAlignment="1">
      <alignment horizontal="left"/>
    </xf>
    <xf numFmtId="0" fontId="16" fillId="0" borderId="2" xfId="6" applyFont="1" applyBorder="1" applyAlignment="1"/>
    <xf numFmtId="0" fontId="26" fillId="0" borderId="0" xfId="6" applyFont="1" applyAlignment="1">
      <alignment horizontal="left"/>
    </xf>
    <xf numFmtId="0" fontId="16" fillId="0" borderId="1" xfId="9" applyFont="1" applyFill="1" applyBorder="1" applyAlignment="1"/>
    <xf numFmtId="0" fontId="16" fillId="0" borderId="1" xfId="6" applyFont="1" applyBorder="1" applyAlignment="1"/>
    <xf numFmtId="0" fontId="16" fillId="0" borderId="1" xfId="6" applyFont="1" applyFill="1" applyBorder="1" applyAlignment="1"/>
    <xf numFmtId="49" fontId="16" fillId="0" borderId="1" xfId="6" applyNumberFormat="1" applyFont="1" applyFill="1" applyBorder="1" applyAlignment="1">
      <alignment horizontal="center"/>
    </xf>
    <xf numFmtId="0" fontId="16" fillId="0" borderId="14" xfId="6" applyFont="1" applyBorder="1" applyAlignment="1">
      <alignment horizontal="left"/>
    </xf>
    <xf numFmtId="0" fontId="16" fillId="0" borderId="0" xfId="6" applyFont="1" applyBorder="1" applyAlignment="1">
      <alignment horizontal="left"/>
    </xf>
    <xf numFmtId="0" fontId="16" fillId="0" borderId="10" xfId="6" applyFont="1" applyBorder="1" applyAlignment="1">
      <alignment horizontal="left"/>
    </xf>
    <xf numFmtId="0" fontId="16" fillId="0" borderId="2" xfId="6" applyFont="1" applyBorder="1" applyAlignment="1"/>
    <xf numFmtId="0" fontId="16" fillId="0" borderId="0" xfId="6" applyFont="1" applyAlignment="1">
      <alignment horizontal="left"/>
    </xf>
    <xf numFmtId="0" fontId="16" fillId="0" borderId="0" xfId="6" applyFont="1" applyAlignment="1"/>
    <xf numFmtId="0" fontId="16" fillId="4" borderId="1" xfId="6" applyFont="1" applyFill="1" applyBorder="1" applyAlignment="1"/>
    <xf numFmtId="0" fontId="16" fillId="8" borderId="1" xfId="6" applyFont="1" applyFill="1" applyBorder="1" applyAlignment="1"/>
    <xf numFmtId="0" fontId="28" fillId="0" borderId="1" xfId="6" applyFont="1" applyFill="1" applyBorder="1" applyAlignment="1"/>
    <xf numFmtId="0" fontId="28" fillId="0" borderId="1" xfId="12" applyFont="1" applyFill="1" applyBorder="1" applyAlignment="1"/>
    <xf numFmtId="0" fontId="28" fillId="0" borderId="1" xfId="6" applyFont="1" applyBorder="1" applyAlignment="1"/>
    <xf numFmtId="0" fontId="34" fillId="0" borderId="0" xfId="6" applyFont="1" applyBorder="1" applyAlignment="1"/>
    <xf numFmtId="1" fontId="16" fillId="4" borderId="0" xfId="7" applyNumberFormat="1" applyFont="1" applyFill="1" applyBorder="1" applyAlignment="1">
      <alignment horizontal="center"/>
    </xf>
    <xf numFmtId="0" fontId="33" fillId="0" borderId="0" xfId="6" applyFont="1" applyAlignment="1">
      <alignment vertical="top"/>
    </xf>
    <xf numFmtId="0" fontId="39" fillId="0" borderId="1" xfId="1" applyFont="1" applyFill="1" applyBorder="1" applyAlignment="1"/>
    <xf numFmtId="0" fontId="16" fillId="0" borderId="0" xfId="9" applyFont="1" applyFill="1" applyBorder="1" applyAlignment="1"/>
    <xf numFmtId="0" fontId="26" fillId="0" borderId="0" xfId="9" applyFont="1" applyAlignment="1">
      <alignment horizontal="right"/>
    </xf>
    <xf numFmtId="0" fontId="16" fillId="0" borderId="0" xfId="9" applyFont="1" applyAlignment="1">
      <alignment horizontal="left"/>
    </xf>
    <xf numFmtId="0" fontId="16" fillId="0" borderId="0" xfId="9" applyFont="1" applyAlignment="1">
      <alignment horizontal="right"/>
    </xf>
    <xf numFmtId="0" fontId="16" fillId="0" borderId="3" xfId="9" applyFont="1" applyBorder="1" applyAlignment="1"/>
    <xf numFmtId="0" fontId="16" fillId="0" borderId="4" xfId="9" applyFont="1" applyBorder="1" applyAlignment="1"/>
    <xf numFmtId="0" fontId="16" fillId="0" borderId="5" xfId="9" applyFont="1" applyBorder="1" applyAlignment="1"/>
    <xf numFmtId="0" fontId="26" fillId="0" borderId="0" xfId="9" applyFont="1" applyAlignment="1">
      <alignment horizontal="left"/>
    </xf>
    <xf numFmtId="0" fontId="16" fillId="0" borderId="11" xfId="9" applyFont="1" applyFill="1" applyBorder="1" applyAlignment="1"/>
    <xf numFmtId="0" fontId="26" fillId="0" borderId="14" xfId="9" applyFont="1" applyBorder="1" applyAlignment="1">
      <alignment horizontal="left"/>
    </xf>
    <xf numFmtId="0" fontId="16" fillId="0" borderId="8" xfId="9" applyFont="1" applyBorder="1" applyAlignment="1"/>
    <xf numFmtId="0" fontId="16" fillId="0" borderId="0" xfId="9" applyFont="1" applyBorder="1" applyAlignment="1"/>
    <xf numFmtId="0" fontId="16" fillId="0" borderId="7" xfId="9" applyFont="1" applyBorder="1" applyAlignment="1"/>
    <xf numFmtId="0" fontId="16" fillId="0" borderId="5" xfId="9" applyFont="1" applyFill="1" applyBorder="1" applyAlignment="1"/>
    <xf numFmtId="0" fontId="26" fillId="0" borderId="0" xfId="9" applyFont="1" applyBorder="1" applyAlignment="1">
      <alignment horizontal="left"/>
    </xf>
    <xf numFmtId="0" fontId="16" fillId="0" borderId="14" xfId="9" applyFont="1" applyBorder="1" applyAlignment="1"/>
    <xf numFmtId="0" fontId="16" fillId="0" borderId="11" xfId="9" applyFont="1" applyBorder="1" applyAlignment="1"/>
    <xf numFmtId="0" fontId="16" fillId="0" borderId="0" xfId="9" applyFont="1" applyBorder="1" applyAlignment="1">
      <alignment horizontal="left"/>
    </xf>
    <xf numFmtId="0" fontId="16" fillId="0" borderId="10" xfId="9" applyFont="1" applyBorder="1" applyAlignment="1">
      <alignment horizontal="left"/>
    </xf>
    <xf numFmtId="0" fontId="16" fillId="0" borderId="16" xfId="9" applyFont="1" applyBorder="1" applyAlignment="1"/>
    <xf numFmtId="0" fontId="26" fillId="0" borderId="15" xfId="9" applyFont="1" applyBorder="1" applyAlignment="1"/>
    <xf numFmtId="0" fontId="16" fillId="0" borderId="15" xfId="9" applyFont="1" applyBorder="1" applyAlignment="1"/>
    <xf numFmtId="0" fontId="16" fillId="0" borderId="2" xfId="9" applyFont="1" applyBorder="1" applyAlignment="1"/>
    <xf numFmtId="0" fontId="26" fillId="0" borderId="0" xfId="9" applyFont="1" applyBorder="1" applyAlignment="1"/>
    <xf numFmtId="0" fontId="26" fillId="0" borderId="0" xfId="9" applyFont="1" applyAlignment="1"/>
    <xf numFmtId="0" fontId="16" fillId="0" borderId="14" xfId="9" applyFont="1" applyBorder="1" applyAlignment="1">
      <alignment horizontal="left"/>
    </xf>
    <xf numFmtId="0" fontId="16" fillId="0" borderId="1" xfId="9" applyFont="1" applyFill="1" applyBorder="1" applyAlignment="1"/>
    <xf numFmtId="49" fontId="16" fillId="0" borderId="1" xfId="6" applyNumberFormat="1" applyFont="1" applyFill="1" applyBorder="1" applyAlignment="1">
      <alignment horizontal="center"/>
    </xf>
    <xf numFmtId="0" fontId="16" fillId="0" borderId="11" xfId="9" applyFont="1" applyFill="1" applyBorder="1" applyAlignment="1"/>
    <xf numFmtId="0" fontId="16" fillId="0" borderId="1" xfId="6" applyFont="1" applyBorder="1" applyAlignment="1"/>
    <xf numFmtId="0" fontId="16" fillId="0" borderId="5" xfId="9" applyFont="1" applyBorder="1" applyAlignment="1"/>
    <xf numFmtId="0" fontId="16" fillId="0" borderId="0" xfId="9" applyFont="1" applyAlignment="1"/>
    <xf numFmtId="0" fontId="16" fillId="0" borderId="1" xfId="6" applyFont="1" applyBorder="1" applyAlignment="1"/>
    <xf numFmtId="0" fontId="34" fillId="0" borderId="1" xfId="6" applyFont="1" applyBorder="1" applyAlignment="1"/>
    <xf numFmtId="0" fontId="40" fillId="0" borderId="1" xfId="12" applyFont="1" applyFill="1" applyBorder="1" applyAlignment="1"/>
    <xf numFmtId="0" fontId="16" fillId="0" borderId="14" xfId="9" applyFont="1" applyBorder="1" applyAlignment="1"/>
    <xf numFmtId="0" fontId="16" fillId="0" borderId="0" xfId="9" applyFont="1" applyAlignment="1"/>
    <xf numFmtId="0" fontId="16" fillId="0" borderId="5" xfId="9" applyFont="1" applyBorder="1" applyAlignment="1"/>
    <xf numFmtId="0" fontId="3" fillId="0" borderId="0" xfId="19" applyFont="1" applyAlignment="1"/>
    <xf numFmtId="0" fontId="2" fillId="0" borderId="0" xfId="19" applyFont="1" applyAlignment="1"/>
    <xf numFmtId="0" fontId="2" fillId="0" borderId="0" xfId="19" applyFont="1" applyAlignment="1">
      <alignment horizontal="center"/>
    </xf>
    <xf numFmtId="49" fontId="2" fillId="0" borderId="0" xfId="19" applyNumberFormat="1" applyFont="1" applyAlignment="1">
      <alignment horizontal="center"/>
    </xf>
    <xf numFmtId="0" fontId="3" fillId="0" borderId="1" xfId="19" applyFont="1" applyBorder="1" applyAlignment="1"/>
    <xf numFmtId="0" fontId="2" fillId="0" borderId="1" xfId="8" applyFont="1" applyFill="1" applyBorder="1" applyAlignment="1"/>
    <xf numFmtId="0" fontId="2" fillId="7" borderId="1" xfId="19" applyFont="1" applyFill="1" applyBorder="1" applyAlignment="1">
      <alignment horizontal="center"/>
    </xf>
    <xf numFmtId="49" fontId="2" fillId="0" borderId="1" xfId="19" applyNumberFormat="1" applyFont="1" applyBorder="1" applyAlignment="1">
      <alignment horizontal="center"/>
    </xf>
    <xf numFmtId="0" fontId="2" fillId="0" borderId="1" xfId="19" applyFont="1" applyFill="1" applyBorder="1" applyAlignment="1">
      <alignment horizontal="center"/>
    </xf>
    <xf numFmtId="0" fontId="26" fillId="0" borderId="0" xfId="19" applyFont="1" applyBorder="1" applyAlignment="1"/>
    <xf numFmtId="0" fontId="16" fillId="0" borderId="0" xfId="19" applyFont="1" applyBorder="1" applyAlignment="1">
      <alignment horizontal="center"/>
    </xf>
    <xf numFmtId="0" fontId="16" fillId="0" borderId="0" xfId="19" applyFont="1" applyFill="1" applyBorder="1" applyAlignment="1">
      <alignment horizontal="center"/>
    </xf>
    <xf numFmtId="0" fontId="16" fillId="0" borderId="0" xfId="19" applyFont="1" applyAlignment="1"/>
    <xf numFmtId="16" fontId="16" fillId="0" borderId="0" xfId="19" applyNumberFormat="1" applyFont="1" applyBorder="1" applyAlignment="1">
      <alignment horizontal="center"/>
    </xf>
    <xf numFmtId="0" fontId="16" fillId="0" borderId="1" xfId="9" applyFont="1" applyFill="1" applyBorder="1" applyAlignment="1"/>
    <xf numFmtId="0" fontId="3" fillId="0" borderId="1" xfId="19" applyFont="1" applyFill="1" applyBorder="1" applyAlignment="1">
      <alignment horizontal="center"/>
    </xf>
    <xf numFmtId="0" fontId="16" fillId="0" borderId="0" xfId="6" applyFont="1" applyAlignment="1"/>
    <xf numFmtId="0" fontId="42" fillId="0" borderId="0" xfId="0" applyFont="1" applyBorder="1" applyAlignment="1"/>
    <xf numFmtId="49" fontId="2" fillId="17" borderId="1" xfId="19" applyNumberFormat="1" applyFont="1" applyFill="1" applyBorder="1" applyAlignment="1">
      <alignment horizontal="center"/>
    </xf>
    <xf numFmtId="0" fontId="43" fillId="0" borderId="1" xfId="19" applyFont="1" applyBorder="1" applyAlignment="1"/>
    <xf numFmtId="0" fontId="43" fillId="0" borderId="1" xfId="19" applyFont="1" applyBorder="1" applyAlignment="1">
      <alignment horizontal="center"/>
    </xf>
    <xf numFmtId="0" fontId="42" fillId="0" borderId="1" xfId="8" applyFont="1" applyFill="1" applyBorder="1" applyAlignment="1"/>
    <xf numFmtId="0" fontId="42" fillId="7" borderId="1" xfId="19" applyFont="1" applyFill="1" applyBorder="1" applyAlignment="1">
      <alignment horizontal="center"/>
    </xf>
    <xf numFmtId="0" fontId="42" fillId="0" borderId="1" xfId="19" applyFont="1" applyBorder="1" applyAlignment="1">
      <alignment horizontal="center"/>
    </xf>
    <xf numFmtId="49" fontId="2" fillId="0" borderId="1" xfId="19" applyNumberFormat="1" applyFont="1" applyFill="1" applyBorder="1" applyAlignment="1">
      <alignment horizontal="center"/>
    </xf>
    <xf numFmtId="0" fontId="3" fillId="5" borderId="1" xfId="8" applyFont="1" applyFill="1" applyBorder="1" applyAlignment="1"/>
    <xf numFmtId="0" fontId="43" fillId="0" borderId="0" xfId="19" applyFont="1" applyBorder="1" applyAlignment="1"/>
    <xf numFmtId="0" fontId="42" fillId="0" borderId="0" xfId="8" applyFont="1" applyFill="1" applyBorder="1" applyAlignment="1"/>
    <xf numFmtId="0" fontId="42" fillId="0" borderId="0" xfId="19" applyFont="1" applyBorder="1" applyAlignment="1">
      <alignment horizontal="center"/>
    </xf>
    <xf numFmtId="0" fontId="43" fillId="0" borderId="0" xfId="19" applyFont="1" applyBorder="1" applyAlignment="1">
      <alignment horizontal="center"/>
    </xf>
    <xf numFmtId="49" fontId="2" fillId="0" borderId="0" xfId="19" applyNumberFormat="1" applyFont="1" applyFill="1" applyBorder="1" applyAlignment="1">
      <alignment horizontal="center"/>
    </xf>
    <xf numFmtId="0" fontId="2" fillId="0" borderId="0" xfId="19" applyFont="1" applyBorder="1" applyAlignment="1">
      <alignment horizontal="center"/>
    </xf>
    <xf numFmtId="0" fontId="42" fillId="0" borderId="0" xfId="19" applyFont="1" applyFill="1" applyBorder="1" applyAlignment="1">
      <alignment horizontal="center"/>
    </xf>
    <xf numFmtId="0" fontId="26" fillId="0" borderId="0" xfId="19" applyFont="1" applyAlignment="1"/>
    <xf numFmtId="0" fontId="16" fillId="0" borderId="1" xfId="8" applyFont="1" applyFill="1" applyBorder="1" applyAlignment="1"/>
    <xf numFmtId="0" fontId="16" fillId="4" borderId="1" xfId="6" applyFont="1" applyFill="1" applyBorder="1" applyAlignment="1"/>
    <xf numFmtId="0" fontId="16" fillId="8" borderId="1" xfId="6" applyFont="1" applyFill="1" applyBorder="1" applyAlignment="1"/>
    <xf numFmtId="0" fontId="16" fillId="0" borderId="1" xfId="6" applyFont="1" applyBorder="1" applyAlignment="1"/>
    <xf numFmtId="0" fontId="28" fillId="0" borderId="1" xfId="8" applyFont="1" applyFill="1" applyBorder="1" applyAlignment="1"/>
    <xf numFmtId="0" fontId="18" fillId="0" borderId="1" xfId="1" applyFill="1" applyBorder="1" applyAlignment="1"/>
    <xf numFmtId="0" fontId="18" fillId="6" borderId="1" xfId="1" applyFill="1" applyBorder="1" applyAlignment="1"/>
    <xf numFmtId="0" fontId="2" fillId="18" borderId="1" xfId="19" applyFont="1" applyFill="1" applyBorder="1" applyAlignment="1">
      <alignment horizontal="center"/>
    </xf>
    <xf numFmtId="0" fontId="3" fillId="18" borderId="1" xfId="19" applyFont="1" applyFill="1" applyBorder="1" applyAlignment="1">
      <alignment horizontal="center"/>
    </xf>
    <xf numFmtId="0" fontId="16" fillId="0" borderId="21" xfId="6" applyFont="1" applyFill="1" applyBorder="1" applyAlignment="1"/>
    <xf numFmtId="0" fontId="28" fillId="0" borderId="1" xfId="12" applyFont="1" applyBorder="1" applyAlignment="1"/>
    <xf numFmtId="0" fontId="44" fillId="0" borderId="1" xfId="12" applyFont="1" applyFill="1" applyBorder="1" applyAlignment="1"/>
    <xf numFmtId="0" fontId="44" fillId="0" borderId="1" xfId="12" applyFont="1" applyBorder="1" applyAlignment="1"/>
    <xf numFmtId="167" fontId="44" fillId="0" borderId="1" xfId="12" applyNumberFormat="1" applyFont="1" applyFill="1" applyBorder="1" applyAlignment="1"/>
    <xf numFmtId="0" fontId="26" fillId="18" borderId="1" xfId="19" applyFont="1" applyFill="1" applyBorder="1" applyAlignment="1">
      <alignment horizontal="center"/>
    </xf>
    <xf numFmtId="0" fontId="16" fillId="18" borderId="1" xfId="19" applyFont="1" applyFill="1" applyBorder="1" applyAlignment="1">
      <alignment horizontal="center"/>
    </xf>
    <xf numFmtId="49" fontId="16" fillId="17" borderId="1" xfId="19" applyNumberFormat="1" applyFont="1" applyFill="1" applyBorder="1" applyAlignment="1">
      <alignment horizontal="center"/>
    </xf>
    <xf numFmtId="0" fontId="16" fillId="0" borderId="1" xfId="19" applyFont="1" applyBorder="1"/>
    <xf numFmtId="0" fontId="16" fillId="0" borderId="1" xfId="19" quotePrefix="1" applyFont="1" applyBorder="1" applyAlignment="1">
      <alignment horizontal="center"/>
    </xf>
    <xf numFmtId="0" fontId="16" fillId="0" borderId="0" xfId="19" quotePrefix="1" applyFont="1" applyAlignment="1">
      <alignment horizontal="right"/>
    </xf>
    <xf numFmtId="0" fontId="16" fillId="0" borderId="0" xfId="19" applyFont="1" applyAlignment="1">
      <alignment horizontal="right"/>
    </xf>
    <xf numFmtId="0" fontId="16" fillId="0" borderId="0" xfId="21" applyFont="1" applyAlignment="1"/>
    <xf numFmtId="0" fontId="16" fillId="0" borderId="0" xfId="9" applyFont="1" applyFill="1" applyAlignment="1"/>
    <xf numFmtId="0" fontId="16" fillId="0" borderId="0" xfId="9" applyFont="1" applyFill="1" applyAlignment="1">
      <alignment horizontal="center"/>
    </xf>
    <xf numFmtId="0" fontId="26" fillId="5" borderId="0" xfId="9" applyFont="1" applyFill="1" applyAlignment="1"/>
    <xf numFmtId="0" fontId="16" fillId="4" borderId="0" xfId="9" applyFont="1" applyFill="1" applyAlignment="1"/>
    <xf numFmtId="0" fontId="16" fillId="8" borderId="0" xfId="9" applyFont="1" applyFill="1" applyAlignment="1"/>
    <xf numFmtId="0" fontId="16" fillId="0" borderId="0" xfId="9" applyFont="1" applyFill="1" applyBorder="1" applyAlignment="1">
      <alignment textRotation="90"/>
    </xf>
    <xf numFmtId="0" fontId="16" fillId="0" borderId="25" xfId="9" applyFont="1" applyBorder="1" applyAlignment="1">
      <alignment horizontal="center"/>
    </xf>
    <xf numFmtId="0" fontId="26" fillId="0" borderId="25" xfId="9" applyFont="1" applyBorder="1" applyAlignment="1">
      <alignment horizontal="center"/>
    </xf>
    <xf numFmtId="0" fontId="16" fillId="0" borderId="0" xfId="9" applyFont="1" applyFill="1" applyAlignment="1">
      <alignment horizontal="center" textRotation="90"/>
    </xf>
    <xf numFmtId="166" fontId="16" fillId="0" borderId="0" xfId="9" applyNumberFormat="1" applyFont="1" applyFill="1" applyAlignment="1">
      <alignment horizontal="center"/>
    </xf>
    <xf numFmtId="0" fontId="28" fillId="0" borderId="25" xfId="6" applyFont="1" applyFill="1" applyBorder="1" applyAlignment="1"/>
    <xf numFmtId="0" fontId="26" fillId="4" borderId="0" xfId="9" applyFont="1" applyFill="1" applyAlignment="1"/>
    <xf numFmtId="166" fontId="16" fillId="4" borderId="0" xfId="9" applyNumberFormat="1" applyFont="1" applyFill="1" applyAlignment="1">
      <alignment horizontal="center"/>
    </xf>
    <xf numFmtId="0" fontId="26" fillId="4" borderId="0" xfId="9" applyFont="1" applyFill="1" applyAlignment="1">
      <alignment horizontal="center"/>
    </xf>
    <xf numFmtId="0" fontId="16" fillId="4" borderId="0" xfId="9" applyFont="1" applyFill="1" applyAlignment="1">
      <alignment horizontal="center"/>
    </xf>
    <xf numFmtId="0" fontId="26" fillId="0" borderId="0" xfId="9" applyFont="1" applyFill="1" applyAlignment="1">
      <alignment horizontal="center"/>
    </xf>
    <xf numFmtId="0" fontId="34" fillId="0" borderId="0" xfId="6" applyFont="1" applyAlignment="1"/>
    <xf numFmtId="0" fontId="3" fillId="0" borderId="1" xfId="6" applyFont="1" applyBorder="1" applyAlignment="1"/>
    <xf numFmtId="0" fontId="2" fillId="0" borderId="1" xfId="6" applyFont="1" applyBorder="1"/>
    <xf numFmtId="0" fontId="2" fillId="0" borderId="0" xfId="6" applyFont="1" applyBorder="1"/>
    <xf numFmtId="0" fontId="3" fillId="5" borderId="1" xfId="6" applyFont="1" applyFill="1" applyBorder="1"/>
    <xf numFmtId="0" fontId="2" fillId="4" borderId="1" xfId="6" applyFont="1" applyFill="1" applyBorder="1"/>
    <xf numFmtId="0" fontId="2" fillId="8" borderId="1" xfId="6" applyFont="1" applyFill="1" applyBorder="1"/>
    <xf numFmtId="0" fontId="16" fillId="0" borderId="1" xfId="12" applyFont="1" applyFill="1" applyBorder="1" applyAlignment="1"/>
    <xf numFmtId="0" fontId="45" fillId="0" borderId="25" xfId="9" applyFont="1" applyFill="1" applyBorder="1" applyAlignment="1">
      <alignment horizontal="center"/>
    </xf>
    <xf numFmtId="0" fontId="30" fillId="0" borderId="0" xfId="6" applyFont="1" applyAlignment="1"/>
    <xf numFmtId="0" fontId="16" fillId="0" borderId="1" xfId="6" applyFont="1" applyBorder="1"/>
    <xf numFmtId="0" fontId="16" fillId="0" borderId="1" xfId="6" applyFont="1" applyBorder="1" applyAlignment="1">
      <alignment horizontal="center"/>
    </xf>
    <xf numFmtId="0" fontId="16" fillId="0" borderId="1" xfId="6" applyFont="1" applyBorder="1"/>
    <xf numFmtId="0" fontId="2" fillId="0" borderId="0" xfId="6" applyFont="1" applyAlignment="1">
      <alignment horizontal="center"/>
    </xf>
    <xf numFmtId="0" fontId="2" fillId="0" borderId="0" xfId="6" quotePrefix="1" applyFont="1" applyAlignment="1">
      <alignment horizontal="center"/>
    </xf>
    <xf numFmtId="0" fontId="26" fillId="0" borderId="0" xfId="6" applyFont="1" applyAlignment="1">
      <alignment horizontal="center"/>
    </xf>
    <xf numFmtId="0" fontId="2" fillId="0" borderId="1" xfId="6" applyFont="1" applyBorder="1" applyAlignment="1">
      <alignment horizontal="center"/>
    </xf>
    <xf numFmtId="0" fontId="16" fillId="0" borderId="0" xfId="6" applyFont="1" applyAlignment="1">
      <alignment horizontal="center"/>
    </xf>
    <xf numFmtId="0" fontId="3" fillId="0" borderId="0" xfId="6" applyFont="1" applyFill="1" applyBorder="1"/>
    <xf numFmtId="0" fontId="2" fillId="0" borderId="0" xfId="6" applyFont="1" applyFill="1" applyBorder="1"/>
    <xf numFmtId="1" fontId="16" fillId="4" borderId="0" xfId="9" applyNumberFormat="1" applyFont="1" applyFill="1" applyAlignment="1">
      <alignment horizontal="center"/>
    </xf>
    <xf numFmtId="0" fontId="18" fillId="13" borderId="1" xfId="1" applyNumberFormat="1" applyFill="1" applyBorder="1" applyAlignment="1"/>
    <xf numFmtId="0" fontId="26" fillId="0" borderId="1" xfId="19" applyFont="1" applyBorder="1" applyAlignment="1"/>
    <xf numFmtId="0" fontId="16" fillId="0" borderId="1" xfId="19" applyFont="1" applyFill="1" applyBorder="1" applyAlignment="1">
      <alignment horizontal="center"/>
    </xf>
    <xf numFmtId="0" fontId="2" fillId="0" borderId="1" xfId="8" applyFont="1" applyFill="1" applyBorder="1"/>
    <xf numFmtId="0" fontId="16" fillId="0" borderId="1" xfId="19" applyFont="1" applyFill="1" applyBorder="1" applyAlignment="1"/>
    <xf numFmtId="0" fontId="16" fillId="0" borderId="0" xfId="19" applyFont="1" applyBorder="1" applyAlignment="1"/>
    <xf numFmtId="0" fontId="2" fillId="0" borderId="1" xfId="8" applyFont="1" applyFill="1" applyBorder="1" applyAlignment="1">
      <alignment wrapText="1"/>
    </xf>
    <xf numFmtId="0" fontId="16" fillId="0" borderId="1" xfId="19" applyFont="1" applyFill="1" applyBorder="1"/>
    <xf numFmtId="0" fontId="30" fillId="0" borderId="0" xfId="19" applyFont="1" applyBorder="1"/>
    <xf numFmtId="0" fontId="16" fillId="0" borderId="0" xfId="19" applyFont="1" applyBorder="1"/>
    <xf numFmtId="0" fontId="26" fillId="0" borderId="0" xfId="19" applyFont="1" applyFill="1" applyBorder="1" applyAlignment="1">
      <alignment horizontal="right"/>
    </xf>
    <xf numFmtId="0" fontId="16" fillId="0" borderId="0" xfId="19" applyFont="1" applyAlignment="1">
      <alignment horizontal="left"/>
    </xf>
    <xf numFmtId="0" fontId="26" fillId="0" borderId="0" xfId="19" applyFont="1" applyAlignment="1">
      <alignment horizontal="right"/>
    </xf>
    <xf numFmtId="0" fontId="16" fillId="0" borderId="3" xfId="19" applyFont="1" applyBorder="1"/>
    <xf numFmtId="0" fontId="16" fillId="0" borderId="4" xfId="19" applyFont="1" applyBorder="1"/>
    <xf numFmtId="0" fontId="16" fillId="0" borderId="5" xfId="19" applyFont="1" applyBorder="1"/>
    <xf numFmtId="0" fontId="16" fillId="0" borderId="14" xfId="19" applyFont="1" applyBorder="1" applyAlignment="1">
      <alignment horizontal="left"/>
    </xf>
    <xf numFmtId="0" fontId="16" fillId="0" borderId="8" xfId="19" applyFont="1" applyBorder="1"/>
    <xf numFmtId="0" fontId="16" fillId="0" borderId="7" xfId="19" applyFont="1" applyBorder="1"/>
    <xf numFmtId="0" fontId="16" fillId="0" borderId="14" xfId="19" applyFont="1" applyBorder="1"/>
    <xf numFmtId="0" fontId="16" fillId="0" borderId="0" xfId="19" applyFont="1" applyBorder="1" applyAlignment="1">
      <alignment horizontal="left"/>
    </xf>
    <xf numFmtId="0" fontId="16" fillId="0" borderId="10" xfId="19" applyFont="1" applyBorder="1"/>
    <xf numFmtId="0" fontId="16" fillId="0" borderId="11" xfId="19" applyFont="1" applyBorder="1"/>
    <xf numFmtId="0" fontId="16" fillId="0" borderId="10" xfId="19" applyFont="1" applyBorder="1" applyAlignment="1">
      <alignment horizontal="left"/>
    </xf>
    <xf numFmtId="0" fontId="26" fillId="0" borderId="0" xfId="19" applyFont="1"/>
    <xf numFmtId="0" fontId="16" fillId="0" borderId="16" xfId="19" applyFont="1" applyBorder="1"/>
    <xf numFmtId="0" fontId="26" fillId="0" borderId="15" xfId="19" applyFont="1" applyBorder="1"/>
    <xf numFmtId="0" fontId="16" fillId="0" borderId="15" xfId="19" applyFont="1" applyBorder="1"/>
    <xf numFmtId="0" fontId="16" fillId="0" borderId="2" xfId="19" applyFont="1" applyBorder="1"/>
    <xf numFmtId="0" fontId="26" fillId="0" borderId="0" xfId="19" applyFont="1" applyBorder="1"/>
    <xf numFmtId="0" fontId="30" fillId="0" borderId="0" xfId="19" applyFont="1"/>
    <xf numFmtId="0" fontId="16" fillId="0" borderId="0" xfId="19" applyFont="1" applyFill="1" applyBorder="1" applyAlignment="1">
      <alignment horizontal="left"/>
    </xf>
    <xf numFmtId="0" fontId="16" fillId="0" borderId="3" xfId="19" applyFont="1" applyBorder="1" applyAlignment="1">
      <alignment horizontal="left"/>
    </xf>
    <xf numFmtId="0" fontId="16" fillId="0" borderId="8" xfId="19" applyFont="1" applyBorder="1" applyAlignment="1">
      <alignment horizontal="left"/>
    </xf>
    <xf numFmtId="0" fontId="16" fillId="0" borderId="5" xfId="19" applyFont="1" applyBorder="1" applyAlignment="1">
      <alignment horizontal="left"/>
    </xf>
    <xf numFmtId="0" fontId="16" fillId="0" borderId="11" xfId="19" applyFont="1" applyBorder="1" applyAlignment="1">
      <alignment horizontal="left"/>
    </xf>
    <xf numFmtId="0" fontId="16" fillId="0" borderId="7" xfId="19" applyFont="1" applyBorder="1" applyAlignment="1">
      <alignment horizontal="left"/>
    </xf>
    <xf numFmtId="0" fontId="16" fillId="0" borderId="16" xfId="19" applyFont="1" applyBorder="1" applyAlignment="1">
      <alignment horizontal="left"/>
    </xf>
    <xf numFmtId="0" fontId="16" fillId="0" borderId="2" xfId="19" applyFont="1" applyBorder="1" applyAlignment="1">
      <alignment horizontal="left"/>
    </xf>
    <xf numFmtId="17" fontId="30" fillId="0" borderId="0" xfId="19" applyNumberFormat="1" applyFont="1"/>
    <xf numFmtId="17" fontId="26" fillId="0" borderId="0" xfId="19" applyNumberFormat="1" applyFont="1"/>
    <xf numFmtId="0" fontId="16" fillId="0" borderId="1" xfId="12" applyFont="1" applyFill="1" applyBorder="1" applyAlignment="1"/>
    <xf numFmtId="49" fontId="16" fillId="0" borderId="1" xfId="19" applyNumberFormat="1" applyFont="1" applyFill="1" applyBorder="1" applyAlignment="1">
      <alignment horizontal="center"/>
    </xf>
    <xf numFmtId="0" fontId="2" fillId="0" borderId="0" xfId="8" applyFont="1" applyFill="1" applyBorder="1" applyAlignment="1"/>
    <xf numFmtId="0" fontId="16" fillId="0" borderId="1" xfId="6" applyFont="1" applyFill="1" applyBorder="1" applyAlignment="1"/>
    <xf numFmtId="0" fontId="16" fillId="0" borderId="0" xfId="19" applyFont="1" applyBorder="1"/>
    <xf numFmtId="0" fontId="16" fillId="0" borderId="1" xfId="6" applyFont="1" applyBorder="1" applyAlignment="1"/>
    <xf numFmtId="0" fontId="16" fillId="0" borderId="2" xfId="19" applyFont="1" applyBorder="1"/>
    <xf numFmtId="0" fontId="16" fillId="0" borderId="14" xfId="19" applyFont="1" applyBorder="1"/>
    <xf numFmtId="0" fontId="16" fillId="13" borderId="1" xfId="12" applyFont="1" applyFill="1" applyBorder="1" applyAlignment="1"/>
    <xf numFmtId="0" fontId="26" fillId="0" borderId="1" xfId="8" applyFont="1" applyFill="1" applyBorder="1" applyAlignment="1"/>
    <xf numFmtId="0" fontId="46" fillId="0" borderId="0" xfId="19" applyFont="1"/>
    <xf numFmtId="0" fontId="16" fillId="4" borderId="1" xfId="12" applyFont="1" applyFill="1" applyBorder="1" applyAlignment="1"/>
    <xf numFmtId="0" fontId="16" fillId="8" borderId="1" xfId="12" applyFont="1" applyFill="1" applyBorder="1" applyAlignment="1"/>
    <xf numFmtId="0" fontId="16" fillId="13" borderId="25" xfId="2" applyNumberFormat="1" applyFont="1" applyFill="1" applyBorder="1" applyAlignment="1">
      <alignment horizontal="center"/>
    </xf>
    <xf numFmtId="0" fontId="45" fillId="0" borderId="1" xfId="8" applyFont="1" applyBorder="1" applyAlignment="1">
      <alignment horizontal="center"/>
    </xf>
    <xf numFmtId="0" fontId="28" fillId="0" borderId="1" xfId="8" applyFont="1" applyBorder="1" applyAlignment="1"/>
    <xf numFmtId="0" fontId="32" fillId="0" borderId="1" xfId="8" applyFont="1" applyBorder="1" applyAlignment="1">
      <alignment horizontal="center"/>
    </xf>
    <xf numFmtId="0" fontId="44" fillId="0" borderId="1" xfId="8" applyFont="1" applyBorder="1" applyAlignment="1"/>
    <xf numFmtId="0" fontId="16" fillId="0" borderId="1" xfId="6" applyFont="1" applyBorder="1" applyAlignment="1"/>
    <xf numFmtId="0" fontId="16" fillId="0" borderId="1" xfId="20" applyFont="1" applyFill="1" applyBorder="1" applyAlignment="1">
      <alignment horizontal="center"/>
    </xf>
    <xf numFmtId="0" fontId="16" fillId="4" borderId="1" xfId="6" applyFont="1" applyFill="1" applyBorder="1" applyAlignment="1"/>
    <xf numFmtId="49" fontId="16" fillId="0" borderId="1" xfId="6" applyNumberFormat="1" applyFont="1" applyFill="1" applyBorder="1" applyAlignment="1">
      <alignment horizontal="center"/>
    </xf>
    <xf numFmtId="0" fontId="16" fillId="0" borderId="5" xfId="9" applyFont="1" applyBorder="1" applyAlignment="1"/>
    <xf numFmtId="0" fontId="16" fillId="0" borderId="11" xfId="9" applyFont="1" applyFill="1" applyBorder="1" applyAlignment="1"/>
    <xf numFmtId="0" fontId="16" fillId="0" borderId="1" xfId="6" applyFont="1" applyBorder="1" applyAlignment="1"/>
    <xf numFmtId="0" fontId="16" fillId="0" borderId="5" xfId="19" applyFont="1" applyBorder="1" applyAlignment="1">
      <alignment horizontal="left"/>
    </xf>
    <xf numFmtId="0" fontId="16" fillId="0" borderId="0" xfId="9" applyFont="1" applyBorder="1" applyAlignment="1">
      <alignment horizontal="left"/>
    </xf>
    <xf numFmtId="0" fontId="16" fillId="0" borderId="0" xfId="9" applyFont="1" applyAlignment="1">
      <alignment horizontal="left"/>
    </xf>
    <xf numFmtId="0" fontId="16" fillId="8" borderId="1" xfId="6" applyFont="1" applyFill="1" applyBorder="1" applyAlignment="1"/>
    <xf numFmtId="0" fontId="16" fillId="0" borderId="3" xfId="6" applyFont="1" applyBorder="1" applyAlignment="1"/>
    <xf numFmtId="0" fontId="16" fillId="0" borderId="5" xfId="6" applyFont="1" applyBorder="1" applyAlignment="1"/>
    <xf numFmtId="49" fontId="16" fillId="0" borderId="1" xfId="6" applyNumberFormat="1" applyFont="1" applyFill="1" applyBorder="1" applyAlignment="1"/>
    <xf numFmtId="0" fontId="26" fillId="0" borderId="63" xfId="6" applyFont="1" applyBorder="1" applyAlignment="1"/>
    <xf numFmtId="0" fontId="2" fillId="0" borderId="1" xfId="6" applyFont="1" applyFill="1" applyBorder="1"/>
    <xf numFmtId="0" fontId="2" fillId="0" borderId="1" xfId="6" applyFont="1" applyFill="1" applyBorder="1" applyAlignment="1">
      <alignment horizontal="center"/>
    </xf>
    <xf numFmtId="0" fontId="16" fillId="0" borderId="1" xfId="6" applyFont="1" applyFill="1" applyBorder="1"/>
    <xf numFmtId="0" fontId="16" fillId="0" borderId="0" xfId="6" applyFont="1" applyFill="1" applyAlignment="1">
      <alignment horizontal="center"/>
    </xf>
    <xf numFmtId="0" fontId="45" fillId="0" borderId="1" xfId="12" applyFont="1" applyFill="1" applyBorder="1" applyAlignment="1">
      <alignment horizontal="center"/>
    </xf>
    <xf numFmtId="0" fontId="32" fillId="0" borderId="1" xfId="12" applyFont="1" applyFill="1" applyBorder="1" applyAlignment="1">
      <alignment horizontal="center"/>
    </xf>
    <xf numFmtId="0" fontId="2" fillId="0" borderId="0" xfId="19" applyFont="1" applyFill="1" applyAlignment="1">
      <alignment horizontal="center"/>
    </xf>
    <xf numFmtId="49" fontId="2" fillId="0" borderId="0" xfId="19" applyNumberFormat="1" applyFont="1" applyFill="1" applyAlignment="1">
      <alignment horizontal="center"/>
    </xf>
    <xf numFmtId="49" fontId="16" fillId="0" borderId="0" xfId="19" applyNumberFormat="1" applyFont="1" applyBorder="1" applyAlignment="1">
      <alignment horizontal="center"/>
    </xf>
    <xf numFmtId="0" fontId="16" fillId="0" borderId="1" xfId="8" applyFont="1" applyFill="1" applyBorder="1" applyAlignment="1"/>
    <xf numFmtId="171" fontId="29" fillId="0" borderId="1" xfId="8" applyNumberFormat="1" applyFont="1" applyFill="1" applyBorder="1" applyAlignment="1">
      <alignment horizontal="center"/>
    </xf>
    <xf numFmtId="0" fontId="16" fillId="0" borderId="1" xfId="6" applyFont="1" applyBorder="1" applyAlignment="1"/>
    <xf numFmtId="0" fontId="16" fillId="0" borderId="0" xfId="6" applyFont="1" applyFill="1" applyAlignment="1">
      <alignment vertical="top"/>
    </xf>
    <xf numFmtId="0" fontId="16" fillId="0" borderId="54" xfId="2" applyFont="1" applyFill="1" applyBorder="1" applyAlignment="1"/>
    <xf numFmtId="0" fontId="30" fillId="9" borderId="0" xfId="1" applyFont="1" applyFill="1" applyBorder="1" applyAlignment="1"/>
    <xf numFmtId="0" fontId="16" fillId="0" borderId="0" xfId="6" applyFont="1" applyAlignment="1">
      <alignment vertical="top"/>
    </xf>
    <xf numFmtId="49" fontId="16" fillId="0" borderId="1" xfId="19" applyNumberFormat="1" applyFont="1" applyFill="1" applyBorder="1" applyAlignment="1">
      <alignment horizontal="center"/>
    </xf>
    <xf numFmtId="0" fontId="3" fillId="0" borderId="0" xfId="8" applyFont="1" applyFill="1" applyAlignment="1">
      <alignment horizontal="right"/>
    </xf>
    <xf numFmtId="0" fontId="16" fillId="0" borderId="1" xfId="6" applyFont="1" applyBorder="1" applyAlignment="1"/>
    <xf numFmtId="0" fontId="16" fillId="0" borderId="1" xfId="19" applyFont="1" applyFill="1" applyBorder="1"/>
    <xf numFmtId="0" fontId="16" fillId="0" borderId="1" xfId="12" applyFont="1" applyFill="1" applyBorder="1" applyAlignment="1"/>
    <xf numFmtId="0" fontId="16" fillId="0" borderId="0" xfId="19" applyFont="1"/>
    <xf numFmtId="0" fontId="16" fillId="0" borderId="1" xfId="19" applyFont="1" applyFill="1" applyBorder="1" applyAlignment="1"/>
    <xf numFmtId="0" fontId="26" fillId="0" borderId="3" xfId="19" applyFont="1" applyBorder="1"/>
    <xf numFmtId="0" fontId="16" fillId="0" borderId="5" xfId="19" applyFont="1" applyBorder="1"/>
    <xf numFmtId="0" fontId="16" fillId="0" borderId="0" xfId="19" applyFont="1" applyAlignment="1"/>
    <xf numFmtId="0" fontId="16" fillId="0" borderId="25" xfId="9" applyFont="1" applyFill="1" applyBorder="1" applyAlignment="1"/>
    <xf numFmtId="0" fontId="2" fillId="0" borderId="0" xfId="8" applyFont="1" applyFill="1" applyBorder="1" applyAlignment="1">
      <alignment horizontal="left"/>
    </xf>
    <xf numFmtId="0" fontId="47" fillId="0" borderId="1" xfId="12" applyFont="1" applyFill="1" applyBorder="1" applyAlignment="1"/>
    <xf numFmtId="0" fontId="2" fillId="0" borderId="0" xfId="8" applyFont="1" applyFill="1" applyAlignment="1">
      <alignment horizontal="left"/>
    </xf>
    <xf numFmtId="0" fontId="2" fillId="0" borderId="0" xfId="8" applyFont="1" applyFill="1" applyAlignment="1"/>
    <xf numFmtId="0" fontId="2" fillId="0" borderId="16" xfId="8" applyFont="1" applyFill="1" applyBorder="1" applyAlignment="1"/>
    <xf numFmtId="0" fontId="16" fillId="0" borderId="0" xfId="19" applyFont="1" applyFill="1" applyAlignment="1">
      <alignment horizontal="left"/>
    </xf>
    <xf numFmtId="0" fontId="16" fillId="0" borderId="0" xfId="19" applyFont="1"/>
    <xf numFmtId="0" fontId="16" fillId="0" borderId="0" xfId="19" applyFont="1" applyBorder="1"/>
    <xf numFmtId="0" fontId="16" fillId="4" borderId="1" xfId="6" applyFont="1" applyFill="1" applyBorder="1" applyAlignment="1"/>
    <xf numFmtId="0" fontId="16" fillId="0" borderId="1" xfId="6" applyFont="1" applyBorder="1" applyAlignment="1"/>
    <xf numFmtId="0" fontId="26" fillId="0" borderId="0" xfId="6" applyFont="1" applyFill="1" applyBorder="1" applyAlignment="1">
      <alignment horizontal="center"/>
    </xf>
    <xf numFmtId="0" fontId="2" fillId="0" borderId="0" xfId="19" applyFont="1" applyFill="1" applyBorder="1" applyAlignment="1">
      <alignment horizontal="center"/>
    </xf>
    <xf numFmtId="0" fontId="26" fillId="18" borderId="1" xfId="6" applyFont="1" applyFill="1" applyBorder="1" applyAlignment="1">
      <alignment horizontal="center"/>
    </xf>
    <xf numFmtId="0" fontId="16" fillId="18" borderId="1" xfId="6" applyFont="1" applyFill="1" applyBorder="1" applyAlignment="1">
      <alignment horizontal="center"/>
    </xf>
    <xf numFmtId="0" fontId="16" fillId="0" borderId="1" xfId="9" applyFont="1" applyFill="1" applyBorder="1" applyAlignment="1"/>
    <xf numFmtId="0" fontId="16" fillId="0" borderId="1" xfId="6" applyFont="1" applyFill="1" applyBorder="1" applyAlignment="1"/>
    <xf numFmtId="0" fontId="16" fillId="0" borderId="13" xfId="6" applyFont="1" applyBorder="1" applyAlignment="1"/>
    <xf numFmtId="0" fontId="16" fillId="0" borderId="16" xfId="6" applyFont="1" applyBorder="1" applyAlignment="1">
      <alignment horizontal="left"/>
    </xf>
    <xf numFmtId="0" fontId="16" fillId="0" borderId="3" xfId="6" applyFont="1" applyBorder="1"/>
    <xf numFmtId="0" fontId="16" fillId="0" borderId="8" xfId="6" applyFont="1" applyBorder="1"/>
    <xf numFmtId="0" fontId="16" fillId="0" borderId="5" xfId="6" applyFont="1" applyBorder="1"/>
    <xf numFmtId="0" fontId="16" fillId="0" borderId="11" xfId="6" applyFont="1" applyBorder="1"/>
    <xf numFmtId="0" fontId="26" fillId="0" borderId="52" xfId="0" applyFont="1" applyFill="1" applyBorder="1" applyAlignment="1"/>
    <xf numFmtId="0" fontId="34" fillId="0" borderId="0" xfId="6" applyFont="1"/>
    <xf numFmtId="0" fontId="16" fillId="0" borderId="1" xfId="9" applyFont="1" applyFill="1" applyBorder="1" applyAlignment="1"/>
    <xf numFmtId="0" fontId="16" fillId="5" borderId="1" xfId="9" applyFont="1" applyFill="1" applyBorder="1" applyAlignment="1"/>
    <xf numFmtId="0" fontId="16" fillId="4" borderId="1" xfId="9" applyFont="1" applyFill="1" applyBorder="1" applyAlignment="1"/>
    <xf numFmtId="49" fontId="16" fillId="0" borderId="1" xfId="6" applyNumberFormat="1" applyFont="1" applyFill="1" applyBorder="1" applyAlignment="1">
      <alignment horizontal="center"/>
    </xf>
    <xf numFmtId="0" fontId="16" fillId="0" borderId="11" xfId="9" applyFont="1" applyFill="1" applyBorder="1" applyAlignment="1"/>
    <xf numFmtId="0" fontId="16" fillId="0" borderId="5" xfId="9" applyFont="1" applyBorder="1" applyAlignment="1"/>
    <xf numFmtId="0" fontId="16" fillId="0" borderId="0" xfId="9" applyFont="1" applyAlignment="1"/>
    <xf numFmtId="0" fontId="16" fillId="0" borderId="4" xfId="9" applyFont="1" applyBorder="1" applyAlignment="1"/>
    <xf numFmtId="0" fontId="48" fillId="0" borderId="0" xfId="6" applyFont="1" applyAlignment="1"/>
    <xf numFmtId="0" fontId="16" fillId="4" borderId="1" xfId="6" applyFont="1" applyFill="1" applyBorder="1" applyAlignment="1"/>
    <xf numFmtId="0" fontId="16" fillId="8" borderId="1" xfId="6" applyFont="1" applyFill="1" applyBorder="1" applyAlignment="1"/>
    <xf numFmtId="0" fontId="16" fillId="0" borderId="0" xfId="9" applyFont="1" applyAlignment="1"/>
    <xf numFmtId="0" fontId="16" fillId="0" borderId="2" xfId="9" applyFont="1" applyBorder="1" applyAlignment="1"/>
    <xf numFmtId="0" fontId="16" fillId="0" borderId="1" xfId="9" applyFont="1" applyFill="1" applyBorder="1" applyAlignment="1"/>
    <xf numFmtId="0" fontId="16" fillId="0" borderId="1" xfId="6" applyFont="1" applyBorder="1" applyAlignment="1"/>
    <xf numFmtId="0" fontId="16" fillId="8" borderId="1" xfId="6" applyFont="1" applyFill="1" applyBorder="1" applyAlignment="1"/>
    <xf numFmtId="0" fontId="26" fillId="13" borderId="1" xfId="12" applyFont="1" applyFill="1" applyBorder="1" applyAlignment="1"/>
    <xf numFmtId="0" fontId="16" fillId="0" borderId="0" xfId="9" applyFont="1" applyAlignment="1"/>
    <xf numFmtId="0" fontId="16" fillId="4" borderId="1" xfId="6" applyFont="1" applyFill="1" applyBorder="1" applyAlignment="1"/>
    <xf numFmtId="0" fontId="16" fillId="0" borderId="0" xfId="9" applyFont="1" applyAlignment="1"/>
    <xf numFmtId="0" fontId="16" fillId="0" borderId="2" xfId="9" applyFont="1" applyBorder="1" applyAlignment="1"/>
    <xf numFmtId="0" fontId="16" fillId="0" borderId="1" xfId="19" applyFont="1" applyFill="1" applyBorder="1" applyAlignment="1"/>
    <xf numFmtId="49" fontId="16" fillId="0" borderId="1" xfId="19" applyNumberFormat="1" applyFont="1" applyFill="1" applyBorder="1" applyAlignment="1">
      <alignment horizontal="center"/>
    </xf>
    <xf numFmtId="0" fontId="16" fillId="14" borderId="1" xfId="19" applyFont="1" applyFill="1" applyBorder="1" applyAlignment="1">
      <alignment horizontal="center"/>
    </xf>
    <xf numFmtId="0" fontId="16" fillId="0" borderId="0" xfId="19" applyFont="1"/>
    <xf numFmtId="0" fontId="16" fillId="0" borderId="5" xfId="19" applyFont="1" applyBorder="1"/>
    <xf numFmtId="0" fontId="16" fillId="0" borderId="2" xfId="19" applyFont="1" applyBorder="1"/>
    <xf numFmtId="0" fontId="16" fillId="14" borderId="0" xfId="19" applyFont="1" applyFill="1" applyBorder="1" applyAlignment="1">
      <alignment horizontal="left"/>
    </xf>
    <xf numFmtId="0" fontId="16" fillId="0" borderId="0" xfId="19" applyFont="1" applyBorder="1"/>
    <xf numFmtId="0" fontId="16" fillId="0" borderId="25" xfId="9" applyFont="1" applyFill="1" applyBorder="1" applyAlignment="1"/>
    <xf numFmtId="0" fontId="34" fillId="0" borderId="25" xfId="6" applyFont="1" applyFill="1" applyBorder="1" applyAlignment="1"/>
    <xf numFmtId="0" fontId="49" fillId="0" borderId="25" xfId="9" applyFont="1" applyFill="1" applyBorder="1" applyAlignment="1"/>
    <xf numFmtId="0" fontId="16" fillId="4" borderId="0" xfId="9" applyFont="1" applyFill="1" applyAlignment="1">
      <alignment horizontal="right"/>
    </xf>
    <xf numFmtId="0" fontId="16" fillId="0" borderId="1" xfId="6" applyFont="1" applyFill="1" applyBorder="1"/>
    <xf numFmtId="49" fontId="16" fillId="0" borderId="1" xfId="6" applyNumberFormat="1" applyFont="1" applyFill="1" applyBorder="1" applyAlignment="1">
      <alignment horizontal="center"/>
    </xf>
    <xf numFmtId="0" fontId="16" fillId="0" borderId="25" xfId="9" applyFont="1" applyFill="1" applyBorder="1" applyAlignment="1"/>
    <xf numFmtId="0" fontId="16" fillId="0" borderId="25" xfId="6" applyFont="1" applyFill="1" applyBorder="1" applyAlignment="1"/>
    <xf numFmtId="0" fontId="26" fillId="19" borderId="0" xfId="6" applyFont="1" applyFill="1" applyAlignment="1"/>
    <xf numFmtId="0" fontId="16" fillId="19" borderId="0" xfId="6" applyFont="1" applyFill="1"/>
    <xf numFmtId="0" fontId="16" fillId="0" borderId="1" xfId="6" applyFont="1" applyFill="1" applyBorder="1"/>
    <xf numFmtId="0" fontId="16" fillId="0" borderId="0" xfId="9" applyFont="1" applyFill="1" applyBorder="1" applyAlignment="1"/>
    <xf numFmtId="0" fontId="16" fillId="0" borderId="0" xfId="6" applyFont="1" applyFill="1" applyBorder="1" applyAlignment="1"/>
    <xf numFmtId="0" fontId="34" fillId="0" borderId="0" xfId="6" applyNumberFormat="1" applyFont="1" applyBorder="1" applyAlignment="1"/>
    <xf numFmtId="0" fontId="50" fillId="13" borderId="25" xfId="2" applyNumberFormat="1" applyFont="1" applyFill="1" applyBorder="1" applyAlignment="1" applyProtection="1">
      <alignment horizontal="center"/>
    </xf>
    <xf numFmtId="0" fontId="16" fillId="13" borderId="25" xfId="2" applyNumberFormat="1" applyFont="1" applyFill="1" applyBorder="1" applyAlignment="1" applyProtection="1">
      <alignment horizontal="center" vertical="center" textRotation="90"/>
    </xf>
    <xf numFmtId="0" fontId="26" fillId="0" borderId="0" xfId="9" applyFont="1" applyFill="1" applyAlignment="1"/>
    <xf numFmtId="0" fontId="26" fillId="0" borderId="1" xfId="12" applyFont="1" applyFill="1" applyBorder="1" applyAlignment="1"/>
    <xf numFmtId="0" fontId="16" fillId="0" borderId="1" xfId="12" applyFont="1" applyFill="1" applyBorder="1" applyAlignment="1">
      <alignment horizontal="center"/>
    </xf>
    <xf numFmtId="0" fontId="16" fillId="0" borderId="1" xfId="12" applyFont="1" applyFill="1" applyBorder="1" applyAlignment="1"/>
    <xf numFmtId="0" fontId="16" fillId="0" borderId="1" xfId="12" applyFont="1" applyFill="1" applyBorder="1" applyAlignment="1">
      <alignment horizontal="center" textRotation="90"/>
    </xf>
    <xf numFmtId="0" fontId="16" fillId="0" borderId="0" xfId="12" applyFont="1" applyFill="1" applyBorder="1" applyAlignment="1"/>
    <xf numFmtId="0" fontId="16" fillId="0" borderId="0" xfId="12" applyFont="1" applyFill="1" applyAlignment="1"/>
    <xf numFmtId="0" fontId="16" fillId="0" borderId="0" xfId="6" applyFont="1" applyFill="1" applyAlignment="1"/>
    <xf numFmtId="0" fontId="16" fillId="0" borderId="1" xfId="9" applyFont="1" applyFill="1" applyBorder="1" applyAlignment="1"/>
    <xf numFmtId="49" fontId="16" fillId="0" borderId="1" xfId="6" applyNumberFormat="1" applyFont="1" applyFill="1" applyBorder="1" applyAlignment="1">
      <alignment horizontal="center"/>
    </xf>
    <xf numFmtId="0" fontId="16" fillId="0" borderId="11" xfId="9" applyFont="1" applyFill="1" applyBorder="1" applyAlignment="1"/>
    <xf numFmtId="0" fontId="16" fillId="0" borderId="0" xfId="9" applyFont="1" applyAlignment="1"/>
    <xf numFmtId="0" fontId="16" fillId="0" borderId="5" xfId="19" applyFont="1" applyBorder="1" applyAlignment="1">
      <alignment horizontal="left"/>
    </xf>
    <xf numFmtId="0" fontId="16" fillId="0" borderId="5" xfId="9" applyFont="1" applyBorder="1" applyAlignment="1"/>
    <xf numFmtId="0" fontId="16" fillId="0" borderId="0" xfId="19" applyFont="1" applyAlignment="1">
      <alignment horizontal="left"/>
    </xf>
    <xf numFmtId="0" fontId="16" fillId="0" borderId="3" xfId="19" applyFont="1" applyBorder="1" applyAlignment="1">
      <alignment horizontal="left"/>
    </xf>
    <xf numFmtId="0" fontId="16" fillId="0" borderId="1" xfId="6" applyFont="1" applyBorder="1" applyAlignment="1"/>
    <xf numFmtId="0" fontId="16" fillId="4" borderId="1" xfId="6" applyFont="1" applyFill="1" applyBorder="1" applyAlignment="1"/>
    <xf numFmtId="0" fontId="16" fillId="8" borderId="1" xfId="6" applyFont="1" applyFill="1" applyBorder="1" applyAlignment="1"/>
    <xf numFmtId="0" fontId="16" fillId="0" borderId="14" xfId="12" applyFont="1" applyFill="1" applyBorder="1" applyAlignment="1">
      <alignment textRotation="90"/>
    </xf>
    <xf numFmtId="0" fontId="16" fillId="0" borderId="0" xfId="12" applyFont="1" applyFill="1" applyAlignment="1">
      <alignment horizontal="center" textRotation="90"/>
    </xf>
    <xf numFmtId="0" fontId="16" fillId="0" borderId="0" xfId="12" applyFont="1" applyFill="1" applyAlignment="1">
      <alignment textRotation="90"/>
    </xf>
    <xf numFmtId="0" fontId="16" fillId="5" borderId="25" xfId="21" applyFont="1" applyFill="1" applyBorder="1" applyAlignment="1">
      <alignment horizontal="center"/>
    </xf>
    <xf numFmtId="0" fontId="16" fillId="0" borderId="25" xfId="21" applyFont="1" applyFill="1" applyBorder="1" applyAlignment="1">
      <alignment horizontal="center"/>
    </xf>
    <xf numFmtId="166" fontId="16" fillId="4" borderId="0" xfId="9" applyNumberFormat="1" applyFont="1" applyFill="1" applyAlignment="1"/>
    <xf numFmtId="0" fontId="16" fillId="4" borderId="25" xfId="21" applyFont="1" applyFill="1" applyBorder="1" applyAlignment="1">
      <alignment horizontal="center"/>
    </xf>
    <xf numFmtId="0" fontId="16" fillId="8" borderId="25" xfId="21" applyFont="1" applyFill="1" applyBorder="1" applyAlignment="1">
      <alignment horizontal="center"/>
    </xf>
    <xf numFmtId="0" fontId="16" fillId="0" borderId="0" xfId="6" applyFont="1" applyFill="1" applyBorder="1"/>
    <xf numFmtId="0" fontId="3" fillId="0" borderId="1" xfId="6" applyFont="1" applyFill="1" applyBorder="1" applyAlignment="1"/>
    <xf numFmtId="0" fontId="16" fillId="0" borderId="0" xfId="9" applyFont="1" applyFill="1" applyBorder="1" applyAlignment="1"/>
    <xf numFmtId="0" fontId="16" fillId="0" borderId="1" xfId="6" applyFont="1" applyBorder="1"/>
    <xf numFmtId="0" fontId="16" fillId="0" borderId="1" xfId="6" applyFont="1" applyFill="1" applyBorder="1"/>
    <xf numFmtId="0" fontId="26" fillId="0" borderId="25" xfId="9" applyFont="1" applyBorder="1" applyAlignment="1">
      <alignment horizontal="right"/>
    </xf>
    <xf numFmtId="0" fontId="16" fillId="0" borderId="0" xfId="9" applyFont="1" applyAlignment="1"/>
    <xf numFmtId="0" fontId="16" fillId="0" borderId="14" xfId="9" applyFont="1" applyBorder="1" applyAlignment="1"/>
    <xf numFmtId="0" fontId="16" fillId="0" borderId="1" xfId="6" applyFont="1" applyBorder="1" applyAlignment="1"/>
    <xf numFmtId="0" fontId="16" fillId="0" borderId="1" xfId="12" applyFont="1" applyFill="1" applyBorder="1" applyAlignment="1"/>
    <xf numFmtId="0" fontId="16" fillId="0" borderId="0" xfId="6" quotePrefix="1" applyFont="1"/>
    <xf numFmtId="49" fontId="16" fillId="0" borderId="0" xfId="19" applyNumberFormat="1" applyFont="1" applyBorder="1" applyAlignment="1">
      <alignment horizontal="center"/>
    </xf>
    <xf numFmtId="0" fontId="16" fillId="4" borderId="1" xfId="6" applyFont="1" applyFill="1" applyBorder="1" applyAlignment="1"/>
    <xf numFmtId="0" fontId="16" fillId="8" borderId="1" xfId="6" applyFont="1" applyFill="1" applyBorder="1" applyAlignment="1"/>
    <xf numFmtId="0" fontId="16" fillId="0" borderId="1" xfId="9" applyFont="1" applyFill="1" applyBorder="1" applyAlignment="1"/>
    <xf numFmtId="49" fontId="16" fillId="0" borderId="1" xfId="6" applyNumberFormat="1" applyFont="1" applyFill="1" applyBorder="1" applyAlignment="1">
      <alignment horizontal="center"/>
    </xf>
    <xf numFmtId="0" fontId="16" fillId="0" borderId="11" xfId="9" applyFont="1" applyFill="1" applyBorder="1" applyAlignment="1"/>
    <xf numFmtId="0" fontId="16" fillId="0" borderId="0" xfId="9" applyFont="1" applyAlignment="1"/>
    <xf numFmtId="0" fontId="16" fillId="0" borderId="5" xfId="9" applyFont="1" applyBorder="1" applyAlignment="1"/>
    <xf numFmtId="0" fontId="26" fillId="0" borderId="0" xfId="19" applyFont="1" applyBorder="1" applyAlignment="1">
      <alignment horizontal="right"/>
    </xf>
    <xf numFmtId="0" fontId="16" fillId="0" borderId="0" xfId="19" applyFont="1" applyBorder="1"/>
    <xf numFmtId="0" fontId="16" fillId="0" borderId="2" xfId="19" applyFont="1" applyBorder="1"/>
    <xf numFmtId="0" fontId="16" fillId="8" borderId="1" xfId="6" applyFont="1" applyFill="1" applyBorder="1" applyAlignment="1"/>
    <xf numFmtId="0" fontId="16" fillId="13" borderId="0" xfId="6" applyFont="1" applyFill="1" applyAlignment="1"/>
    <xf numFmtId="0" fontId="26" fillId="13" borderId="0" xfId="6" applyFont="1" applyFill="1" applyAlignment="1"/>
    <xf numFmtId="0" fontId="16" fillId="6" borderId="0" xfId="6" applyFont="1" applyFill="1" applyAlignment="1"/>
    <xf numFmtId="0" fontId="33" fillId="0" borderId="0" xfId="1" applyFont="1"/>
    <xf numFmtId="0" fontId="30" fillId="0" borderId="51" xfId="1" applyFont="1" applyFill="1" applyBorder="1" applyAlignment="1"/>
    <xf numFmtId="0" fontId="30" fillId="0" borderId="49" xfId="1" applyFont="1" applyFill="1" applyBorder="1" applyAlignment="1"/>
    <xf numFmtId="0" fontId="30" fillId="9" borderId="51" xfId="1" applyFont="1" applyFill="1" applyBorder="1" applyAlignment="1"/>
    <xf numFmtId="0" fontId="26" fillId="9" borderId="0" xfId="0" applyFont="1" applyFill="1" applyBorder="1" applyAlignment="1"/>
    <xf numFmtId="0" fontId="33" fillId="13" borderId="51" xfId="1" applyFont="1" applyFill="1" applyBorder="1" applyAlignment="1"/>
    <xf numFmtId="0" fontId="0" fillId="13" borderId="0" xfId="0" applyFont="1" applyFill="1" applyBorder="1" applyAlignment="1"/>
    <xf numFmtId="0" fontId="0" fillId="6" borderId="54" xfId="0" applyFont="1" applyFill="1" applyBorder="1" applyAlignment="1"/>
    <xf numFmtId="0" fontId="33" fillId="6" borderId="50" xfId="1" applyFont="1" applyFill="1" applyBorder="1" applyAlignment="1"/>
    <xf numFmtId="0" fontId="33" fillId="13" borderId="53" xfId="1" applyFont="1" applyFill="1" applyBorder="1" applyAlignment="1"/>
    <xf numFmtId="0" fontId="0" fillId="13" borderId="54" xfId="0" applyFont="1" applyFill="1" applyBorder="1" applyAlignment="1"/>
    <xf numFmtId="0" fontId="33" fillId="2" borderId="53" xfId="1" applyFont="1" applyFill="1" applyBorder="1" applyAlignment="1"/>
    <xf numFmtId="0" fontId="0" fillId="2" borderId="0" xfId="0" applyFont="1" applyFill="1" applyBorder="1" applyAlignment="1"/>
    <xf numFmtId="0" fontId="33" fillId="0" borderId="50" xfId="1" applyFont="1" applyBorder="1" applyAlignment="1"/>
    <xf numFmtId="0" fontId="33" fillId="0" borderId="53" xfId="1" applyFont="1" applyBorder="1" applyAlignment="1"/>
    <xf numFmtId="0" fontId="0" fillId="0" borderId="54" xfId="0" applyFont="1" applyFill="1" applyBorder="1" applyAlignment="1"/>
    <xf numFmtId="0" fontId="30" fillId="2" borderId="50" xfId="1" applyFont="1" applyFill="1" applyBorder="1" applyAlignment="1"/>
    <xf numFmtId="0" fontId="30" fillId="0" borderId="0" xfId="1" applyFont="1" applyAlignment="1"/>
    <xf numFmtId="0" fontId="33" fillId="16" borderId="51" xfId="1" applyFont="1" applyFill="1" applyBorder="1" applyAlignment="1"/>
    <xf numFmtId="0" fontId="0" fillId="16" borderId="0" xfId="0" applyFont="1" applyFill="1" applyBorder="1" applyAlignment="1"/>
    <xf numFmtId="0" fontId="30" fillId="0" borderId="54" xfId="1" applyFont="1" applyFill="1" applyBorder="1" applyAlignment="1"/>
    <xf numFmtId="0" fontId="33" fillId="0" borderId="51" xfId="1" applyFont="1" applyFill="1" applyBorder="1" applyAlignment="1"/>
    <xf numFmtId="0" fontId="33" fillId="2" borderId="50" xfId="1" applyFont="1" applyFill="1" applyBorder="1" applyAlignment="1"/>
    <xf numFmtId="0" fontId="0" fillId="9" borderId="50" xfId="0" applyFont="1" applyFill="1" applyBorder="1" applyAlignment="1"/>
    <xf numFmtId="0" fontId="0" fillId="0" borderId="21" xfId="0" applyFont="1" applyFill="1" applyBorder="1" applyAlignment="1"/>
    <xf numFmtId="0" fontId="0" fillId="0" borderId="51" xfId="0" applyFont="1" applyFill="1" applyBorder="1" applyAlignment="1"/>
    <xf numFmtId="0" fontId="0" fillId="6" borderId="0" xfId="0" applyFont="1" applyFill="1" applyBorder="1" applyAlignment="1"/>
    <xf numFmtId="0" fontId="33" fillId="6" borderId="54" xfId="1" applyFont="1" applyFill="1" applyBorder="1" applyAlignment="1"/>
    <xf numFmtId="0" fontId="0" fillId="13" borderId="53" xfId="0" applyFont="1" applyFill="1" applyBorder="1" applyAlignment="1"/>
    <xf numFmtId="0" fontId="33" fillId="13" borderId="64" xfId="2" applyFont="1" applyFill="1" applyBorder="1" applyAlignment="1"/>
    <xf numFmtId="0" fontId="0" fillId="0" borderId="0" xfId="0" applyFont="1" applyFill="1" applyBorder="1" applyAlignment="1"/>
    <xf numFmtId="0" fontId="30" fillId="0" borderId="66" xfId="1" applyFont="1" applyFill="1" applyBorder="1" applyAlignment="1"/>
    <xf numFmtId="0" fontId="26" fillId="0" borderId="21" xfId="0" applyFont="1" applyFill="1" applyBorder="1" applyAlignment="1"/>
    <xf numFmtId="0" fontId="30" fillId="0" borderId="65" xfId="1" applyFont="1" applyBorder="1" applyAlignment="1"/>
    <xf numFmtId="0" fontId="30" fillId="0" borderId="21" xfId="1" applyFont="1" applyBorder="1" applyAlignment="1"/>
    <xf numFmtId="0" fontId="33" fillId="6" borderId="0" xfId="1" applyFont="1" applyFill="1" applyBorder="1" applyAlignment="1"/>
    <xf numFmtId="0" fontId="30" fillId="9" borderId="0" xfId="1" applyFont="1" applyFill="1" applyAlignment="1"/>
    <xf numFmtId="0" fontId="26" fillId="9" borderId="0" xfId="0" applyFont="1" applyFill="1" applyAlignment="1"/>
    <xf numFmtId="0" fontId="30" fillId="9" borderId="50" xfId="1" applyFont="1" applyFill="1" applyBorder="1"/>
    <xf numFmtId="0" fontId="0" fillId="13" borderId="15" xfId="0" applyFont="1" applyFill="1" applyBorder="1" applyAlignment="1"/>
    <xf numFmtId="0" fontId="26" fillId="9" borderId="54" xfId="0" applyFont="1" applyFill="1" applyBorder="1" applyAlignment="1"/>
    <xf numFmtId="0" fontId="30" fillId="9" borderId="66" xfId="1" applyFont="1" applyFill="1" applyBorder="1" applyAlignment="1"/>
    <xf numFmtId="0" fontId="26" fillId="9" borderId="21" xfId="0" applyFont="1" applyFill="1" applyBorder="1" applyAlignment="1"/>
    <xf numFmtId="49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49" fontId="0" fillId="13" borderId="1" xfId="0" applyNumberFormat="1" applyFont="1" applyFill="1" applyBorder="1" applyAlignment="1"/>
    <xf numFmtId="0" fontId="0" fillId="13" borderId="1" xfId="0" applyNumberFormat="1" applyFont="1" applyFill="1" applyBorder="1" applyAlignment="1"/>
    <xf numFmtId="14" fontId="26" fillId="0" borderId="1" xfId="6" applyNumberFormat="1" applyFont="1" applyFill="1" applyBorder="1" applyAlignment="1"/>
    <xf numFmtId="14" fontId="41" fillId="0" borderId="1" xfId="6" applyNumberFormat="1" applyFont="1" applyFill="1" applyBorder="1" applyAlignment="1"/>
    <xf numFmtId="49" fontId="41" fillId="0" borderId="1" xfId="6" applyNumberFormat="1" applyFont="1" applyFill="1" applyBorder="1" applyAlignment="1"/>
    <xf numFmtId="0" fontId="41" fillId="0" borderId="1" xfId="6" applyNumberFormat="1" applyFont="1" applyFill="1" applyBorder="1" applyAlignment="1"/>
    <xf numFmtId="0" fontId="0" fillId="16" borderId="1" xfId="0" applyNumberFormat="1" applyFont="1" applyFill="1" applyBorder="1" applyAlignment="1"/>
    <xf numFmtId="49" fontId="0" fillId="16" borderId="1" xfId="0" applyNumberFormat="1" applyFont="1" applyFill="1" applyBorder="1" applyAlignment="1"/>
    <xf numFmtId="164" fontId="16" fillId="0" borderId="1" xfId="6" applyNumberFormat="1" applyFont="1" applyFill="1" applyBorder="1" applyAlignment="1">
      <alignment horizontal="center"/>
    </xf>
    <xf numFmtId="166" fontId="16" fillId="0" borderId="1" xfId="6" applyNumberFormat="1" applyFont="1" applyFill="1" applyBorder="1" applyAlignment="1">
      <alignment horizontal="center"/>
    </xf>
    <xf numFmtId="0" fontId="41" fillId="0" borderId="1" xfId="1" applyFont="1" applyFill="1" applyBorder="1" applyAlignment="1"/>
    <xf numFmtId="0" fontId="41" fillId="0" borderId="1" xfId="0" applyNumberFormat="1" applyFont="1" applyBorder="1" applyAlignment="1"/>
    <xf numFmtId="164" fontId="41" fillId="0" borderId="1" xfId="6" applyNumberFormat="1" applyFont="1" applyFill="1" applyBorder="1" applyAlignment="1">
      <alignment horizontal="center"/>
    </xf>
    <xf numFmtId="0" fontId="33" fillId="16" borderId="1" xfId="1" applyFont="1" applyFill="1" applyBorder="1" applyAlignment="1"/>
    <xf numFmtId="164" fontId="0" fillId="16" borderId="1" xfId="0" applyNumberFormat="1" applyFont="1" applyFill="1" applyBorder="1" applyAlignment="1">
      <alignment horizontal="center"/>
    </xf>
    <xf numFmtId="166" fontId="16" fillId="16" borderId="1" xfId="6" applyNumberFormat="1" applyFont="1" applyFill="1" applyBorder="1" applyAlignment="1">
      <alignment horizontal="center"/>
    </xf>
    <xf numFmtId="0" fontId="16" fillId="13" borderId="1" xfId="2" applyNumberFormat="1" applyFont="1" applyFill="1" applyBorder="1" applyAlignment="1"/>
    <xf numFmtId="0" fontId="30" fillId="0" borderId="1" xfId="1" applyFont="1" applyFill="1" applyBorder="1"/>
    <xf numFmtId="0" fontId="18" fillId="0" borderId="55" xfId="1" applyFill="1" applyBorder="1" applyAlignment="1"/>
    <xf numFmtId="0" fontId="16" fillId="0" borderId="1" xfId="6" applyFont="1" applyFill="1" applyBorder="1"/>
    <xf numFmtId="49" fontId="16" fillId="0" borderId="1" xfId="6" applyNumberFormat="1" applyFont="1" applyFill="1" applyBorder="1" applyAlignment="1">
      <alignment horizontal="center"/>
    </xf>
    <xf numFmtId="0" fontId="16" fillId="0" borderId="0" xfId="6" quotePrefix="1" applyFont="1"/>
    <xf numFmtId="0" fontId="16" fillId="0" borderId="0" xfId="6" applyFont="1"/>
    <xf numFmtId="0" fontId="16" fillId="4" borderId="25" xfId="9" applyFont="1" applyFill="1" applyBorder="1" applyAlignment="1">
      <alignment horizontal="center"/>
    </xf>
    <xf numFmtId="0" fontId="16" fillId="8" borderId="25" xfId="9" applyFont="1" applyFill="1" applyBorder="1" applyAlignment="1">
      <alignment horizontal="center"/>
    </xf>
    <xf numFmtId="0" fontId="42" fillId="0" borderId="0" xfId="6" quotePrefix="1" applyFont="1"/>
    <xf numFmtId="0" fontId="52" fillId="0" borderId="1" xfId="6" applyFont="1" applyBorder="1" applyAlignment="1"/>
    <xf numFmtId="0" fontId="42" fillId="0" borderId="0" xfId="6" applyFont="1" applyBorder="1"/>
    <xf numFmtId="0" fontId="42" fillId="0" borderId="0" xfId="6" applyFont="1" applyBorder="1" applyAlignment="1">
      <alignment horizontal="center"/>
    </xf>
    <xf numFmtId="0" fontId="42" fillId="0" borderId="69" xfId="6" applyFont="1" applyBorder="1"/>
    <xf numFmtId="0" fontId="42" fillId="7" borderId="69" xfId="6" applyFont="1" applyFill="1" applyBorder="1" applyAlignment="1">
      <alignment horizontal="center"/>
    </xf>
    <xf numFmtId="0" fontId="42" fillId="0" borderId="69" xfId="6" applyFont="1" applyBorder="1" applyAlignment="1">
      <alignment horizontal="center"/>
    </xf>
    <xf numFmtId="0" fontId="42" fillId="0" borderId="69" xfId="6" applyFont="1" applyFill="1" applyBorder="1"/>
    <xf numFmtId="0" fontId="52" fillId="0" borderId="1" xfId="6" applyFont="1" applyFill="1" applyBorder="1" applyAlignment="1"/>
    <xf numFmtId="49" fontId="42" fillId="0" borderId="69" xfId="19" applyNumberFormat="1" applyFont="1" applyFill="1" applyBorder="1" applyAlignment="1">
      <alignment horizontal="center"/>
    </xf>
    <xf numFmtId="0" fontId="42" fillId="18" borderId="69" xfId="6" applyFont="1" applyFill="1" applyBorder="1" applyAlignment="1">
      <alignment horizontal="center"/>
    </xf>
    <xf numFmtId="0" fontId="42" fillId="0" borderId="70" xfId="6" applyFont="1" applyFill="1" applyBorder="1"/>
    <xf numFmtId="0" fontId="42" fillId="0" borderId="70" xfId="6" applyFont="1" applyFill="1" applyBorder="1" applyAlignment="1">
      <alignment horizontal="center"/>
    </xf>
    <xf numFmtId="49" fontId="42" fillId="0" borderId="70" xfId="19" applyNumberFormat="1" applyFont="1" applyFill="1" applyBorder="1" applyAlignment="1">
      <alignment horizontal="center"/>
    </xf>
    <xf numFmtId="0" fontId="42" fillId="0" borderId="71" xfId="6" applyFont="1" applyFill="1" applyBorder="1" applyAlignment="1">
      <alignment horizontal="center"/>
    </xf>
    <xf numFmtId="49" fontId="42" fillId="0" borderId="71" xfId="19" applyNumberFormat="1" applyFont="1" applyFill="1" applyBorder="1" applyAlignment="1">
      <alignment horizontal="center"/>
    </xf>
    <xf numFmtId="0" fontId="16" fillId="0" borderId="71" xfId="6" applyFont="1" applyFill="1" applyBorder="1"/>
    <xf numFmtId="0" fontId="27" fillId="0" borderId="25" xfId="21" applyFont="1" applyFill="1" applyBorder="1" applyAlignment="1">
      <alignment horizontal="center"/>
    </xf>
    <xf numFmtId="49" fontId="16" fillId="0" borderId="1" xfId="6" applyNumberFormat="1" applyFont="1" applyBorder="1" applyAlignment="1">
      <alignment horizontal="center"/>
    </xf>
    <xf numFmtId="49" fontId="16" fillId="0" borderId="1" xfId="6" applyNumberFormat="1" applyFont="1" applyFill="1" applyBorder="1" applyAlignment="1">
      <alignment horizontal="center"/>
    </xf>
    <xf numFmtId="0" fontId="42" fillId="20" borderId="69" xfId="6" applyFont="1" applyFill="1" applyBorder="1"/>
    <xf numFmtId="0" fontId="42" fillId="20" borderId="69" xfId="6" applyFont="1" applyFill="1" applyBorder="1" applyAlignment="1">
      <alignment horizontal="center"/>
    </xf>
    <xf numFmtId="49" fontId="42" fillId="20" borderId="69" xfId="19" applyNumberFormat="1" applyFont="1" applyFill="1" applyBorder="1" applyAlignment="1">
      <alignment horizontal="center"/>
    </xf>
    <xf numFmtId="0" fontId="30" fillId="9" borderId="24" xfId="1" applyFont="1" applyFill="1" applyBorder="1" applyAlignment="1"/>
    <xf numFmtId="0" fontId="30" fillId="9" borderId="54" xfId="1" applyFont="1" applyFill="1" applyBorder="1" applyAlignment="1"/>
    <xf numFmtId="0" fontId="30" fillId="0" borderId="0" xfId="15" applyFont="1"/>
    <xf numFmtId="0" fontId="16" fillId="0" borderId="1" xfId="9" applyFont="1" applyFill="1" applyBorder="1" applyAlignment="1"/>
    <xf numFmtId="49" fontId="16" fillId="0" borderId="1" xfId="6" applyNumberFormat="1" applyFont="1" applyFill="1" applyBorder="1" applyAlignment="1">
      <alignment horizontal="center"/>
    </xf>
    <xf numFmtId="0" fontId="16" fillId="0" borderId="0" xfId="9" applyFont="1" applyAlignment="1"/>
    <xf numFmtId="0" fontId="26" fillId="0" borderId="0" xfId="15" applyFont="1" applyAlignment="1">
      <alignment horizontal="right"/>
    </xf>
    <xf numFmtId="0" fontId="16" fillId="0" borderId="0" xfId="19" applyFont="1" applyBorder="1" applyAlignment="1">
      <alignment horizontal="left"/>
    </xf>
    <xf numFmtId="0" fontId="16" fillId="0" borderId="0" xfId="19" applyFont="1" applyAlignment="1">
      <alignment horizontal="left"/>
    </xf>
    <xf numFmtId="0" fontId="0" fillId="0" borderId="0" xfId="0" applyFont="1"/>
    <xf numFmtId="0" fontId="16" fillId="0" borderId="29" xfId="16" applyFont="1" applyBorder="1" applyAlignment="1"/>
    <xf numFmtId="0" fontId="26" fillId="0" borderId="30" xfId="9" applyFont="1" applyFill="1" applyBorder="1" applyAlignment="1">
      <alignment horizontal="center"/>
    </xf>
    <xf numFmtId="0" fontId="26" fillId="0" borderId="0" xfId="9" applyFont="1" applyAlignment="1">
      <alignment vertical="center"/>
    </xf>
    <xf numFmtId="0" fontId="16" fillId="0" borderId="30" xfId="9" applyFont="1" applyBorder="1" applyAlignment="1"/>
    <xf numFmtId="0" fontId="26" fillId="0" borderId="31" xfId="9" applyFont="1" applyBorder="1" applyAlignment="1"/>
    <xf numFmtId="0" fontId="16" fillId="4" borderId="30" xfId="9" applyFont="1" applyFill="1" applyBorder="1" applyAlignment="1"/>
    <xf numFmtId="0" fontId="16" fillId="4" borderId="32" xfId="16" applyFont="1" applyFill="1" applyBorder="1" applyAlignment="1">
      <alignment horizontal="center"/>
    </xf>
    <xf numFmtId="0" fontId="16" fillId="4" borderId="1" xfId="16" applyFont="1" applyFill="1" applyBorder="1" applyAlignment="1">
      <alignment horizontal="center"/>
    </xf>
    <xf numFmtId="0" fontId="16" fillId="4" borderId="26" xfId="16" applyFont="1" applyFill="1" applyBorder="1" applyAlignment="1">
      <alignment horizontal="center"/>
    </xf>
    <xf numFmtId="0" fontId="16" fillId="4" borderId="30" xfId="16" applyFont="1" applyFill="1" applyBorder="1" applyAlignment="1">
      <alignment horizontal="center"/>
    </xf>
    <xf numFmtId="0" fontId="16" fillId="0" borderId="32" xfId="16" applyFont="1" applyFill="1" applyBorder="1" applyAlignment="1">
      <alignment horizontal="center"/>
    </xf>
    <xf numFmtId="0" fontId="16" fillId="0" borderId="1" xfId="16" applyFont="1" applyFill="1" applyBorder="1" applyAlignment="1">
      <alignment horizontal="center"/>
    </xf>
    <xf numFmtId="0" fontId="16" fillId="0" borderId="26" xfId="16" applyFont="1" applyFill="1" applyBorder="1" applyAlignment="1">
      <alignment horizontal="center"/>
    </xf>
    <xf numFmtId="0" fontId="16" fillId="0" borderId="32" xfId="16" applyFont="1" applyFill="1" applyBorder="1" applyAlignment="1"/>
    <xf numFmtId="0" fontId="16" fillId="4" borderId="33" xfId="9" applyFont="1" applyFill="1" applyBorder="1" applyAlignment="1"/>
    <xf numFmtId="0" fontId="16" fillId="4" borderId="34" xfId="16" applyFont="1" applyFill="1" applyBorder="1" applyAlignment="1">
      <alignment horizontal="center"/>
    </xf>
    <xf numFmtId="0" fontId="16" fillId="4" borderId="35" xfId="16" applyFont="1" applyFill="1" applyBorder="1" applyAlignment="1">
      <alignment horizontal="center"/>
    </xf>
    <xf numFmtId="0" fontId="16" fillId="4" borderId="36" xfId="16" applyFont="1" applyFill="1" applyBorder="1" applyAlignment="1">
      <alignment horizontal="center"/>
    </xf>
    <xf numFmtId="0" fontId="16" fillId="4" borderId="33" xfId="16" applyFont="1" applyFill="1" applyBorder="1" applyAlignment="1">
      <alignment horizontal="center"/>
    </xf>
    <xf numFmtId="0" fontId="16" fillId="0" borderId="0" xfId="16" applyFont="1" applyAlignment="1"/>
    <xf numFmtId="0" fontId="16" fillId="0" borderId="72" xfId="16" applyFont="1" applyBorder="1"/>
    <xf numFmtId="0" fontId="26" fillId="0" borderId="37" xfId="9" applyFont="1" applyBorder="1" applyAlignment="1"/>
    <xf numFmtId="0" fontId="16" fillId="0" borderId="26" xfId="9" applyFont="1" applyFill="1" applyBorder="1" applyAlignment="1">
      <alignment horizontal="center"/>
    </xf>
    <xf numFmtId="0" fontId="16" fillId="0" borderId="33" xfId="16" applyFont="1" applyBorder="1" applyAlignment="1"/>
    <xf numFmtId="0" fontId="16" fillId="0" borderId="34" xfId="9" applyFont="1" applyBorder="1" applyAlignment="1">
      <alignment horizontal="center"/>
    </xf>
    <xf numFmtId="0" fontId="16" fillId="0" borderId="35" xfId="9" applyFont="1" applyBorder="1" applyAlignment="1">
      <alignment horizontal="center"/>
    </xf>
    <xf numFmtId="0" fontId="16" fillId="0" borderId="36" xfId="9" applyFont="1" applyBorder="1" applyAlignment="1">
      <alignment horizontal="center"/>
    </xf>
    <xf numFmtId="0" fontId="16" fillId="0" borderId="33" xfId="16" applyFont="1" applyFill="1" applyBorder="1" applyAlignment="1">
      <alignment horizontal="center"/>
    </xf>
    <xf numFmtId="0" fontId="26" fillId="0" borderId="33" xfId="9" applyFont="1" applyFill="1" applyBorder="1" applyAlignment="1">
      <alignment horizontal="center"/>
    </xf>
    <xf numFmtId="0" fontId="26" fillId="5" borderId="1" xfId="19" applyFont="1" applyFill="1" applyBorder="1" applyAlignment="1"/>
    <xf numFmtId="0" fontId="16" fillId="0" borderId="1" xfId="12" applyFont="1" applyFill="1" applyBorder="1" applyAlignment="1"/>
    <xf numFmtId="0" fontId="16" fillId="4" borderId="32" xfId="16" applyFont="1" applyFill="1" applyBorder="1" applyAlignment="1"/>
    <xf numFmtId="0" fontId="16" fillId="0" borderId="1" xfId="6" applyFont="1" applyBorder="1" applyAlignment="1"/>
    <xf numFmtId="0" fontId="16" fillId="0" borderId="32" xfId="9" applyFont="1" applyFill="1" applyBorder="1" applyAlignment="1"/>
    <xf numFmtId="0" fontId="16" fillId="0" borderId="25" xfId="16" applyFont="1" applyBorder="1" applyAlignment="1">
      <alignment horizontal="left"/>
    </xf>
    <xf numFmtId="0" fontId="16" fillId="4" borderId="32" xfId="9" applyFont="1" applyFill="1" applyBorder="1" applyAlignment="1"/>
    <xf numFmtId="0" fontId="16" fillId="0" borderId="32" xfId="9" applyFont="1" applyFill="1" applyBorder="1" applyAlignment="1">
      <alignment horizontal="left"/>
    </xf>
    <xf numFmtId="0" fontId="16" fillId="0" borderId="34" xfId="9" applyFont="1" applyFill="1" applyBorder="1" applyAlignment="1">
      <alignment horizontal="left"/>
    </xf>
    <xf numFmtId="0" fontId="16" fillId="4" borderId="34" xfId="16" applyFont="1" applyFill="1" applyBorder="1" applyAlignment="1"/>
    <xf numFmtId="0" fontId="16" fillId="0" borderId="1" xfId="16" applyFont="1" applyFill="1" applyBorder="1" applyAlignment="1"/>
    <xf numFmtId="0" fontId="16" fillId="0" borderId="32" xfId="16" applyFont="1" applyBorder="1" applyAlignment="1">
      <alignment horizontal="left"/>
    </xf>
    <xf numFmtId="0" fontId="16" fillId="0" borderId="1" xfId="12" applyFont="1" applyFill="1" applyBorder="1" applyAlignment="1"/>
    <xf numFmtId="0" fontId="28" fillId="0" borderId="1" xfId="6" applyFont="1" applyFill="1" applyBorder="1" applyAlignment="1"/>
    <xf numFmtId="0" fontId="16" fillId="0" borderId="0" xfId="16" applyFont="1"/>
    <xf numFmtId="0" fontId="16" fillId="0" borderId="32" xfId="9" applyFont="1" applyBorder="1" applyAlignment="1">
      <alignment horizontal="center"/>
    </xf>
    <xf numFmtId="0" fontId="16" fillId="0" borderId="1" xfId="9" applyFont="1" applyBorder="1" applyAlignment="1">
      <alignment horizontal="center"/>
    </xf>
    <xf numFmtId="0" fontId="16" fillId="0" borderId="26" xfId="9" applyFont="1" applyBorder="1" applyAlignment="1">
      <alignment horizontal="center"/>
    </xf>
    <xf numFmtId="0" fontId="16" fillId="0" borderId="30" xfId="16" applyFont="1" applyFill="1" applyBorder="1" applyAlignment="1">
      <alignment horizontal="center"/>
    </xf>
    <xf numFmtId="0" fontId="16" fillId="0" borderId="0" xfId="9" applyFont="1" applyFill="1" applyBorder="1" applyAlignment="1">
      <alignment horizontal="center"/>
    </xf>
    <xf numFmtId="0" fontId="16" fillId="0" borderId="0" xfId="16" applyFont="1" applyBorder="1"/>
    <xf numFmtId="0" fontId="16" fillId="0" borderId="1" xfId="16" applyFont="1" applyBorder="1" applyAlignment="1">
      <alignment horizontal="left"/>
    </xf>
    <xf numFmtId="0" fontId="16" fillId="0" borderId="1" xfId="9" applyFont="1" applyFill="1" applyBorder="1" applyAlignment="1"/>
    <xf numFmtId="0" fontId="16" fillId="0" borderId="25" xfId="16" applyFont="1" applyBorder="1" applyAlignment="1"/>
    <xf numFmtId="0" fontId="16" fillId="0" borderId="30" xfId="16" applyFont="1" applyBorder="1" applyAlignment="1"/>
    <xf numFmtId="0" fontId="26" fillId="0" borderId="1" xfId="16" applyFont="1" applyBorder="1" applyAlignment="1"/>
    <xf numFmtId="0" fontId="16" fillId="4" borderId="1" xfId="16" applyFont="1" applyFill="1" applyBorder="1" applyAlignment="1"/>
    <xf numFmtId="0" fontId="16" fillId="8" borderId="1" xfId="16" applyFont="1" applyFill="1" applyBorder="1" applyAlignment="1"/>
    <xf numFmtId="0" fontId="16" fillId="0" borderId="1" xfId="16" applyFont="1" applyBorder="1" applyAlignment="1"/>
    <xf numFmtId="0" fontId="16" fillId="0" borderId="30" xfId="9" applyFont="1" applyFill="1" applyBorder="1" applyAlignment="1">
      <alignment horizontal="center"/>
    </xf>
    <xf numFmtId="0" fontId="16" fillId="5" borderId="30" xfId="16" applyFont="1" applyFill="1" applyBorder="1" applyAlignment="1">
      <alignment horizontal="center"/>
    </xf>
    <xf numFmtId="0" fontId="16" fillId="0" borderId="0" xfId="9" applyFont="1" applyFill="1" applyBorder="1" applyAlignment="1">
      <alignment textRotation="90"/>
    </xf>
    <xf numFmtId="0" fontId="16" fillId="0" borderId="25" xfId="9" applyFont="1" applyFill="1" applyBorder="1" applyAlignment="1"/>
    <xf numFmtId="0" fontId="16" fillId="0" borderId="1" xfId="6" applyFont="1" applyFill="1" applyBorder="1"/>
    <xf numFmtId="0" fontId="16" fillId="0" borderId="25" xfId="9" applyFont="1" applyFill="1" applyBorder="1" applyAlignment="1">
      <alignment horizontal="center"/>
    </xf>
    <xf numFmtId="0" fontId="16" fillId="0" borderId="0" xfId="6" applyFont="1"/>
    <xf numFmtId="166" fontId="16" fillId="0" borderId="25" xfId="9" applyNumberFormat="1" applyFont="1" applyFill="1" applyBorder="1" applyAlignment="1">
      <alignment horizontal="right"/>
    </xf>
    <xf numFmtId="0" fontId="26" fillId="0" borderId="25" xfId="15" applyFont="1" applyFill="1" applyBorder="1" applyAlignment="1">
      <alignment horizontal="center"/>
    </xf>
    <xf numFmtId="166" fontId="16" fillId="0" borderId="0" xfId="9" applyNumberFormat="1" applyFont="1" applyFill="1" applyBorder="1" applyAlignment="1">
      <alignment horizontal="center"/>
    </xf>
    <xf numFmtId="0" fontId="18" fillId="13" borderId="25" xfId="1" applyFill="1" applyBorder="1" applyAlignment="1">
      <alignment horizontal="center"/>
    </xf>
    <xf numFmtId="0" fontId="3" fillId="0" borderId="25" xfId="15" applyFont="1" applyFill="1" applyBorder="1" applyAlignment="1">
      <alignment horizontal="center"/>
    </xf>
    <xf numFmtId="0" fontId="16" fillId="0" borderId="25" xfId="9" applyFont="1" applyFill="1" applyBorder="1" applyAlignment="1"/>
    <xf numFmtId="0" fontId="16" fillId="0" borderId="25" xfId="6" applyFont="1" applyFill="1" applyBorder="1" applyAlignment="1"/>
    <xf numFmtId="0" fontId="16" fillId="0" borderId="1" xfId="8" applyFont="1" applyFill="1" applyBorder="1" applyAlignment="1"/>
    <xf numFmtId="0" fontId="16" fillId="0" borderId="0" xfId="6" applyFont="1" applyFill="1"/>
    <xf numFmtId="0" fontId="26" fillId="4" borderId="52" xfId="6" applyFont="1" applyFill="1" applyBorder="1" applyAlignment="1"/>
    <xf numFmtId="0" fontId="30" fillId="0" borderId="50" xfId="1" applyFont="1" applyFill="1" applyBorder="1" applyAlignment="1"/>
    <xf numFmtId="0" fontId="30" fillId="0" borderId="53" xfId="1" applyNumberFormat="1" applyFont="1" applyFill="1" applyBorder="1" applyAlignment="1"/>
    <xf numFmtId="0" fontId="30" fillId="4" borderId="49" xfId="1" applyFont="1" applyFill="1" applyBorder="1" applyAlignment="1"/>
    <xf numFmtId="0" fontId="33" fillId="0" borderId="53" xfId="1" applyFont="1" applyFill="1" applyBorder="1" applyAlignment="1"/>
    <xf numFmtId="0" fontId="0" fillId="0" borderId="0" xfId="0" applyFont="1" applyFill="1" applyBorder="1" applyAlignment="1"/>
    <xf numFmtId="0" fontId="33" fillId="0" borderId="15" xfId="1" applyFont="1" applyFill="1" applyBorder="1" applyAlignment="1"/>
    <xf numFmtId="0" fontId="0" fillId="13" borderId="15" xfId="0" applyFont="1" applyFill="1" applyBorder="1" applyAlignment="1"/>
    <xf numFmtId="0" fontId="0" fillId="13" borderId="0" xfId="0" applyFont="1" applyFill="1" applyBorder="1" applyAlignment="1"/>
    <xf numFmtId="0" fontId="0" fillId="0" borderId="53" xfId="0" applyFont="1" applyFill="1" applyBorder="1" applyAlignment="1">
      <alignment horizontal="center"/>
    </xf>
    <xf numFmtId="0" fontId="33" fillId="13" borderId="54" xfId="2" applyFont="1" applyFill="1" applyBorder="1" applyAlignment="1"/>
    <xf numFmtId="0" fontId="0" fillId="0" borderId="19" xfId="0" applyFont="1" applyFill="1" applyBorder="1" applyAlignment="1"/>
    <xf numFmtId="0" fontId="0" fillId="0" borderId="21" xfId="0" applyFont="1" applyFill="1" applyBorder="1" applyAlignment="1"/>
    <xf numFmtId="0" fontId="0" fillId="6" borderId="0" xfId="0" applyFont="1" applyFill="1" applyBorder="1" applyAlignment="1"/>
    <xf numFmtId="0" fontId="0" fillId="0" borderId="24" xfId="0" applyFont="1" applyFill="1" applyBorder="1" applyAlignment="1"/>
    <xf numFmtId="0" fontId="33" fillId="0" borderId="54" xfId="1" applyFont="1" applyFill="1" applyBorder="1" applyAlignment="1"/>
    <xf numFmtId="0" fontId="33" fillId="0" borderId="0" xfId="1" applyFont="1" applyFill="1" applyBorder="1" applyAlignment="1"/>
    <xf numFmtId="0" fontId="26" fillId="21" borderId="1" xfId="6" applyFont="1" applyFill="1" applyBorder="1" applyAlignment="1"/>
    <xf numFmtId="49" fontId="16" fillId="0" borderId="1" xfId="19" applyNumberFormat="1" applyFont="1" applyFill="1" applyBorder="1" applyAlignment="1">
      <alignment horizontal="center"/>
    </xf>
    <xf numFmtId="0" fontId="16" fillId="0" borderId="1" xfId="19" applyFont="1" applyFill="1" applyBorder="1" applyAlignment="1">
      <alignment horizontal="center"/>
    </xf>
    <xf numFmtId="0" fontId="16" fillId="0" borderId="0" xfId="19" applyFont="1"/>
    <xf numFmtId="0" fontId="16" fillId="0" borderId="0" xfId="19" applyFont="1" applyBorder="1" applyAlignment="1">
      <alignment horizontal="left"/>
    </xf>
    <xf numFmtId="0" fontId="16" fillId="0" borderId="0" xfId="19" applyFont="1" applyAlignment="1">
      <alignment horizontal="left"/>
    </xf>
    <xf numFmtId="0" fontId="16" fillId="0" borderId="1" xfId="6" applyFont="1" applyBorder="1" applyAlignment="1"/>
    <xf numFmtId="0" fontId="16" fillId="0" borderId="1" xfId="12" applyFont="1" applyFill="1" applyBorder="1" applyAlignment="1"/>
    <xf numFmtId="0" fontId="16" fillId="0" borderId="1" xfId="19" applyFont="1" applyFill="1" applyBorder="1"/>
    <xf numFmtId="0" fontId="37" fillId="0" borderId="52" xfId="1" applyFont="1" applyFill="1" applyBorder="1" applyAlignment="1">
      <alignment horizontal="left"/>
    </xf>
    <xf numFmtId="0" fontId="36" fillId="0" borderId="55" xfId="1" applyFont="1" applyFill="1" applyBorder="1" applyAlignment="1"/>
    <xf numFmtId="0" fontId="36" fillId="0" borderId="52" xfId="1" applyFont="1" applyFill="1" applyBorder="1" applyAlignment="1"/>
    <xf numFmtId="0" fontId="36" fillId="0" borderId="23" xfId="1" applyFont="1" applyFill="1" applyBorder="1" applyAlignment="1"/>
    <xf numFmtId="172" fontId="16" fillId="0" borderId="0" xfId="21" applyNumberFormat="1" applyFont="1" applyBorder="1"/>
    <xf numFmtId="0" fontId="45" fillId="4" borderId="0" xfId="8" applyFont="1" applyFill="1" applyAlignment="1"/>
    <xf numFmtId="0" fontId="32" fillId="4" borderId="0" xfId="8" applyFont="1" applyFill="1" applyAlignment="1"/>
    <xf numFmtId="0" fontId="31" fillId="0" borderId="8" xfId="6" applyFont="1" applyFill="1" applyBorder="1"/>
    <xf numFmtId="0" fontId="16" fillId="0" borderId="3" xfId="6" applyFont="1" applyFill="1" applyBorder="1" applyAlignment="1">
      <alignment horizontal="left"/>
    </xf>
    <xf numFmtId="0" fontId="31" fillId="0" borderId="0" xfId="6" applyFont="1" applyFill="1"/>
    <xf numFmtId="0" fontId="16" fillId="0" borderId="7" xfId="6" applyFont="1" applyFill="1" applyBorder="1" applyAlignment="1">
      <alignment horizontal="right"/>
    </xf>
    <xf numFmtId="0" fontId="53" fillId="0" borderId="0" xfId="6" applyFont="1" applyFill="1" applyBorder="1" applyAlignment="1">
      <alignment horizontal="right"/>
    </xf>
    <xf numFmtId="0" fontId="53" fillId="0" borderId="0" xfId="6" applyFont="1" applyFill="1" applyBorder="1"/>
    <xf numFmtId="0" fontId="54" fillId="0" borderId="0" xfId="6" applyFont="1" applyFill="1"/>
    <xf numFmtId="0" fontId="53" fillId="0" borderId="0" xfId="6" applyFont="1" applyFill="1" applyAlignment="1">
      <alignment horizontal="right"/>
    </xf>
    <xf numFmtId="0" fontId="54" fillId="0" borderId="0" xfId="6" applyFont="1" applyFill="1" applyAlignment="1">
      <alignment horizontal="right"/>
    </xf>
    <xf numFmtId="0" fontId="53" fillId="0" borderId="0" xfId="6" applyFont="1" applyFill="1"/>
    <xf numFmtId="0" fontId="30" fillId="0" borderId="0" xfId="6" applyFont="1" applyFill="1" applyBorder="1"/>
    <xf numFmtId="0" fontId="54" fillId="0" borderId="0" xfId="6" applyFont="1" applyFill="1" applyBorder="1" applyAlignment="1">
      <alignment horizontal="right"/>
    </xf>
    <xf numFmtId="0" fontId="16" fillId="0" borderId="0" xfId="6" applyFont="1" applyFill="1" applyAlignment="1">
      <alignment horizontal="left"/>
    </xf>
    <xf numFmtId="0" fontId="31" fillId="0" borderId="1" xfId="8" applyFont="1" applyBorder="1" applyAlignment="1">
      <alignment horizontal="center"/>
    </xf>
    <xf numFmtId="0" fontId="56" fillId="0" borderId="1" xfId="8" applyFont="1" applyBorder="1" applyAlignment="1"/>
    <xf numFmtId="0" fontId="31" fillId="4" borderId="0" xfId="8" applyFont="1" applyFill="1" applyAlignment="1"/>
    <xf numFmtId="0" fontId="16" fillId="5" borderId="1" xfId="8" applyFont="1" applyFill="1" applyBorder="1" applyAlignment="1"/>
    <xf numFmtId="0" fontId="16" fillId="4" borderId="1" xfId="8" applyFont="1" applyFill="1" applyBorder="1" applyAlignment="1"/>
    <xf numFmtId="0" fontId="16" fillId="8" borderId="1" xfId="8" applyFont="1" applyFill="1" applyBorder="1" applyAlignment="1"/>
    <xf numFmtId="0" fontId="16" fillId="7" borderId="1" xfId="6" applyFont="1" applyFill="1" applyBorder="1" applyAlignment="1">
      <alignment horizontal="center"/>
    </xf>
    <xf numFmtId="0" fontId="16" fillId="0" borderId="0" xfId="6" applyFont="1" applyBorder="1" applyAlignment="1">
      <alignment horizontal="right"/>
    </xf>
    <xf numFmtId="0" fontId="2" fillId="0" borderId="1" xfId="9" applyFont="1" applyFill="1" applyBorder="1" applyAlignment="1"/>
    <xf numFmtId="0" fontId="2" fillId="0" borderId="6" xfId="6" applyFont="1" applyBorder="1" applyAlignment="1"/>
    <xf numFmtId="0" fontId="9" fillId="0" borderId="0" xfId="9" applyFont="1" applyAlignment="1"/>
    <xf numFmtId="0" fontId="2" fillId="0" borderId="0" xfId="9" applyFont="1" applyAlignment="1"/>
    <xf numFmtId="0" fontId="3" fillId="0" borderId="0" xfId="9" applyFont="1" applyAlignment="1"/>
    <xf numFmtId="0" fontId="2" fillId="0" borderId="0" xfId="9" applyFont="1" applyAlignment="1">
      <alignment horizontal="left"/>
    </xf>
    <xf numFmtId="0" fontId="2" fillId="0" borderId="3" xfId="9" applyFont="1" applyBorder="1" applyAlignment="1"/>
    <xf numFmtId="0" fontId="2" fillId="0" borderId="4" xfId="9" applyFont="1" applyBorder="1" applyAlignment="1"/>
    <xf numFmtId="0" fontId="2" fillId="0" borderId="5" xfId="9" applyFont="1" applyBorder="1" applyAlignment="1"/>
    <xf numFmtId="0" fontId="2" fillId="0" borderId="11" xfId="9" applyFont="1" applyFill="1" applyBorder="1" applyAlignment="1"/>
    <xf numFmtId="0" fontId="2" fillId="0" borderId="14" xfId="9" applyFont="1" applyBorder="1" applyAlignment="1">
      <alignment horizontal="left"/>
    </xf>
    <xf numFmtId="0" fontId="2" fillId="0" borderId="8" xfId="9" applyFont="1" applyBorder="1" applyAlignment="1"/>
    <xf numFmtId="0" fontId="2" fillId="0" borderId="0" xfId="9" applyFont="1" applyBorder="1" applyAlignment="1"/>
    <xf numFmtId="0" fontId="2" fillId="0" borderId="7" xfId="9" applyFont="1" applyBorder="1" applyAlignment="1"/>
    <xf numFmtId="0" fontId="2" fillId="0" borderId="5" xfId="9" applyFont="1" applyFill="1" applyBorder="1" applyAlignment="1"/>
    <xf numFmtId="0" fontId="2" fillId="0" borderId="0" xfId="9" applyFont="1" applyBorder="1" applyAlignment="1">
      <alignment horizontal="left"/>
    </xf>
    <xf numFmtId="0" fontId="2" fillId="0" borderId="14" xfId="9" applyFont="1" applyBorder="1" applyAlignment="1"/>
    <xf numFmtId="0" fontId="2" fillId="0" borderId="11" xfId="9" applyFont="1" applyBorder="1" applyAlignment="1"/>
    <xf numFmtId="0" fontId="2" fillId="0" borderId="10" xfId="9" applyFont="1" applyBorder="1" applyAlignment="1">
      <alignment horizontal="left"/>
    </xf>
    <xf numFmtId="0" fontId="2" fillId="0" borderId="16" xfId="9" applyFont="1" applyBorder="1" applyAlignment="1"/>
    <xf numFmtId="0" fontId="3" fillId="0" borderId="15" xfId="9" applyFont="1" applyBorder="1" applyAlignment="1"/>
    <xf numFmtId="0" fontId="2" fillId="0" borderId="15" xfId="9" applyFont="1" applyBorder="1" applyAlignment="1"/>
    <xf numFmtId="0" fontId="2" fillId="0" borderId="2" xfId="9" applyFont="1" applyBorder="1" applyAlignment="1"/>
    <xf numFmtId="0" fontId="3" fillId="0" borderId="0" xfId="9" applyFont="1" applyBorder="1" applyAlignment="1"/>
    <xf numFmtId="49" fontId="16" fillId="0" borderId="1" xfId="6" applyNumberFormat="1" applyFont="1" applyBorder="1" applyAlignment="1">
      <alignment horizontal="center"/>
    </xf>
    <xf numFmtId="0" fontId="16" fillId="0" borderId="1" xfId="6" applyFont="1" applyBorder="1" applyAlignment="1">
      <alignment horizontal="center"/>
    </xf>
    <xf numFmtId="0" fontId="16" fillId="0" borderId="1" xfId="6" applyFont="1" applyBorder="1"/>
    <xf numFmtId="0" fontId="16" fillId="0" borderId="1" xfId="6" applyFont="1" applyBorder="1" applyAlignment="1"/>
    <xf numFmtId="0" fontId="29" fillId="0" borderId="0" xfId="6" applyFont="1"/>
    <xf numFmtId="49" fontId="16" fillId="0" borderId="0" xfId="6" applyNumberFormat="1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0" fontId="16" fillId="0" borderId="5" xfId="6" applyFont="1" applyFill="1" applyBorder="1"/>
    <xf numFmtId="0" fontId="16" fillId="0" borderId="25" xfId="9" applyFont="1" applyFill="1" applyBorder="1" applyAlignment="1"/>
    <xf numFmtId="0" fontId="16" fillId="0" borderId="0" xfId="6" applyFont="1" applyFill="1"/>
    <xf numFmtId="0" fontId="16" fillId="5" borderId="25" xfId="9" applyFont="1" applyFill="1" applyBorder="1" applyAlignment="1"/>
    <xf numFmtId="0" fontId="16" fillId="8" borderId="25" xfId="6" applyFont="1" applyFill="1" applyBorder="1" applyAlignment="1"/>
    <xf numFmtId="0" fontId="16" fillId="0" borderId="1" xfId="6" applyFont="1" applyBorder="1" applyAlignment="1"/>
    <xf numFmtId="0" fontId="16" fillId="0" borderId="25" xfId="6" applyFont="1" applyFill="1" applyBorder="1" applyAlignment="1"/>
    <xf numFmtId="0" fontId="45" fillId="8" borderId="25" xfId="9" applyFont="1" applyFill="1" applyBorder="1" applyAlignment="1">
      <alignment horizontal="center"/>
    </xf>
    <xf numFmtId="0" fontId="45" fillId="4" borderId="25" xfId="9" applyFont="1" applyFill="1" applyBorder="1" applyAlignment="1">
      <alignment horizontal="center"/>
    </xf>
    <xf numFmtId="0" fontId="45" fillId="5" borderId="25" xfId="9" applyFont="1" applyFill="1" applyBorder="1" applyAlignment="1">
      <alignment horizontal="center"/>
    </xf>
    <xf numFmtId="0" fontId="55" fillId="0" borderId="3" xfId="6" applyFont="1" applyFill="1" applyBorder="1" applyAlignment="1">
      <alignment horizontal="right"/>
    </xf>
    <xf numFmtId="0" fontId="16" fillId="0" borderId="0" xfId="6" applyFont="1" applyFill="1"/>
    <xf numFmtId="0" fontId="16" fillId="0" borderId="9" xfId="6" applyFont="1" applyFill="1" applyBorder="1"/>
    <xf numFmtId="0" fontId="16" fillId="0" borderId="0" xfId="6" applyFont="1" applyFill="1" applyBorder="1"/>
    <xf numFmtId="0" fontId="16" fillId="0" borderId="0" xfId="6" applyFont="1" applyFill="1" applyBorder="1" applyAlignment="1">
      <alignment horizontal="left"/>
    </xf>
    <xf numFmtId="0" fontId="16" fillId="0" borderId="5" xfId="6" applyFont="1" applyFill="1" applyBorder="1"/>
    <xf numFmtId="0" fontId="16" fillId="0" borderId="1" xfId="6" applyFont="1" applyBorder="1" applyAlignment="1"/>
    <xf numFmtId="0" fontId="16" fillId="0" borderId="4" xfId="6" applyFont="1" applyFill="1" applyBorder="1"/>
    <xf numFmtId="0" fontId="16" fillId="14" borderId="0" xfId="6" applyFont="1" applyFill="1" applyAlignment="1">
      <alignment horizontal="left"/>
    </xf>
    <xf numFmtId="0" fontId="16" fillId="14" borderId="10" xfId="6" applyFont="1" applyFill="1" applyBorder="1" applyAlignment="1">
      <alignment horizontal="left"/>
    </xf>
    <xf numFmtId="0" fontId="16" fillId="0" borderId="0" xfId="6" applyFont="1" applyFill="1" applyAlignment="1">
      <alignment horizontal="left"/>
    </xf>
    <xf numFmtId="0" fontId="16" fillId="4" borderId="25" xfId="9" applyFont="1" applyFill="1" applyBorder="1" applyAlignment="1"/>
    <xf numFmtId="0" fontId="16" fillId="0" borderId="25" xfId="9" applyFont="1" applyFill="1" applyBorder="1" applyAlignment="1"/>
    <xf numFmtId="0" fontId="0" fillId="5" borderId="1" xfId="0" applyFont="1" applyFill="1" applyBorder="1"/>
    <xf numFmtId="0" fontId="26" fillId="5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56" fillId="0" borderId="0" xfId="6" applyFont="1"/>
    <xf numFmtId="0" fontId="42" fillId="0" borderId="1" xfId="0" applyFont="1" applyFill="1" applyBorder="1"/>
    <xf numFmtId="0" fontId="42" fillId="7" borderId="1" xfId="6" applyFont="1" applyFill="1" applyBorder="1" applyAlignment="1">
      <alignment horizontal="center"/>
    </xf>
    <xf numFmtId="0" fontId="42" fillId="0" borderId="1" xfId="6" applyFont="1" applyBorder="1" applyAlignment="1">
      <alignment horizontal="center"/>
    </xf>
    <xf numFmtId="0" fontId="42" fillId="0" borderId="0" xfId="6" applyFont="1"/>
    <xf numFmtId="166" fontId="43" fillId="0" borderId="1" xfId="8" applyNumberFormat="1" applyFont="1" applyFill="1" applyBorder="1" applyAlignment="1">
      <alignment horizontal="center"/>
    </xf>
    <xf numFmtId="0" fontId="0" fillId="8" borderId="1" xfId="0" applyFont="1" applyFill="1" applyBorder="1"/>
    <xf numFmtId="0" fontId="26" fillId="8" borderId="1" xfId="0" applyNumberFormat="1" applyFont="1" applyFill="1" applyBorder="1" applyAlignment="1">
      <alignment horizontal="center"/>
    </xf>
    <xf numFmtId="0" fontId="33" fillId="4" borderId="50" xfId="1" applyFont="1" applyFill="1" applyBorder="1" applyAlignment="1"/>
    <xf numFmtId="0" fontId="26" fillId="5" borderId="1" xfId="6" applyFont="1" applyFill="1" applyBorder="1"/>
    <xf numFmtId="0" fontId="16" fillId="4" borderId="1" xfId="6" applyFont="1" applyFill="1" applyBorder="1"/>
    <xf numFmtId="0" fontId="42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0" fillId="4" borderId="1" xfId="0" applyFont="1" applyFill="1" applyBorder="1"/>
    <xf numFmtId="0" fontId="26" fillId="4" borderId="1" xfId="0" applyNumberFormat="1" applyFont="1" applyFill="1" applyBorder="1" applyAlignment="1">
      <alignment horizontal="center"/>
    </xf>
    <xf numFmtId="166" fontId="26" fillId="14" borderId="1" xfId="8" applyNumberFormat="1" applyFont="1" applyFill="1" applyBorder="1" applyAlignment="1">
      <alignment horizontal="center"/>
    </xf>
    <xf numFmtId="0" fontId="57" fillId="0" borderId="51" xfId="1" applyFont="1" applyFill="1" applyBorder="1" applyAlignment="1"/>
    <xf numFmtId="0" fontId="57" fillId="0" borderId="49" xfId="1" applyFont="1" applyBorder="1" applyAlignment="1">
      <alignment vertical="top"/>
    </xf>
    <xf numFmtId="0" fontId="0" fillId="0" borderId="0" xfId="0" applyFont="1" applyFill="1" applyBorder="1" applyAlignment="1"/>
    <xf numFmtId="49" fontId="0" fillId="13" borderId="1" xfId="0" applyNumberFormat="1" applyFont="1" applyFill="1" applyBorder="1" applyAlignment="1"/>
    <xf numFmtId="0" fontId="0" fillId="13" borderId="1" xfId="0" applyNumberFormat="1" applyFont="1" applyFill="1" applyBorder="1" applyAlignment="1"/>
    <xf numFmtId="0" fontId="26" fillId="0" borderId="1" xfId="6" applyNumberFormat="1" applyFont="1" applyBorder="1" applyAlignment="1"/>
    <xf numFmtId="49" fontId="26" fillId="0" borderId="1" xfId="6" applyNumberFormat="1" applyFont="1" applyBorder="1" applyAlignment="1"/>
    <xf numFmtId="0" fontId="0" fillId="6" borderId="0" xfId="0" applyFont="1" applyFill="1" applyBorder="1" applyAlignment="1"/>
    <xf numFmtId="49" fontId="0" fillId="13" borderId="1" xfId="0" applyNumberFormat="1" applyFont="1" applyFill="1" applyBorder="1" applyAlignment="1"/>
    <xf numFmtId="0" fontId="0" fillId="13" borderId="1" xfId="0" applyNumberFormat="1" applyFont="1" applyFill="1" applyBorder="1" applyAlignment="1"/>
    <xf numFmtId="0" fontId="16" fillId="8" borderId="1" xfId="12" applyFont="1" applyFill="1" applyBorder="1" applyAlignment="1"/>
    <xf numFmtId="0" fontId="16" fillId="0" borderId="1" xfId="6" applyFont="1" applyBorder="1" applyAlignment="1"/>
    <xf numFmtId="0" fontId="16" fillId="0" borderId="1" xfId="12" applyFont="1" applyFill="1" applyBorder="1" applyAlignment="1"/>
    <xf numFmtId="0" fontId="16" fillId="5" borderId="1" xfId="12" applyFont="1" applyFill="1" applyBorder="1" applyAlignment="1"/>
    <xf numFmtId="0" fontId="16" fillId="4" borderId="30" xfId="16" applyFont="1" applyFill="1" applyBorder="1" applyAlignment="1"/>
    <xf numFmtId="0" fontId="16" fillId="4" borderId="25" xfId="16" applyFont="1" applyFill="1" applyBorder="1" applyAlignment="1"/>
    <xf numFmtId="0" fontId="16" fillId="4" borderId="32" xfId="9" applyFont="1" applyFill="1" applyBorder="1" applyAlignment="1">
      <alignment horizontal="center"/>
    </xf>
    <xf numFmtId="0" fontId="16" fillId="4" borderId="1" xfId="9" applyFont="1" applyFill="1" applyBorder="1" applyAlignment="1">
      <alignment horizontal="center"/>
    </xf>
    <xf numFmtId="0" fontId="16" fillId="4" borderId="26" xfId="9" applyFont="1" applyFill="1" applyBorder="1" applyAlignment="1">
      <alignment horizontal="center"/>
    </xf>
    <xf numFmtId="0" fontId="16" fillId="4" borderId="32" xfId="9" applyFont="1" applyFill="1" applyBorder="1" applyAlignment="1">
      <alignment horizontal="left"/>
    </xf>
    <xf numFmtId="0" fontId="16" fillId="4" borderId="32" xfId="16" applyFont="1" applyFill="1" applyBorder="1" applyAlignment="1">
      <alignment horizontal="left"/>
    </xf>
    <xf numFmtId="0" fontId="16" fillId="0" borderId="26" xfId="16" applyFont="1" applyBorder="1" applyAlignment="1"/>
    <xf numFmtId="0" fontId="16" fillId="0" borderId="27" xfId="16" applyFont="1" applyBorder="1" applyAlignment="1"/>
    <xf numFmtId="0" fontId="16" fillId="0" borderId="28" xfId="16" applyFont="1" applyBorder="1" applyAlignment="1"/>
    <xf numFmtId="0" fontId="16" fillId="0" borderId="26" xfId="9" applyFont="1" applyFill="1" applyBorder="1" applyAlignment="1"/>
    <xf numFmtId="0" fontId="16" fillId="0" borderId="38" xfId="16" applyFont="1" applyBorder="1" applyAlignment="1"/>
    <xf numFmtId="0" fontId="26" fillId="0" borderId="38" xfId="16" applyFont="1" applyBorder="1" applyAlignment="1">
      <alignment horizontal="center"/>
    </xf>
    <xf numFmtId="0" fontId="16" fillId="0" borderId="39" xfId="16" applyFont="1" applyBorder="1" applyAlignment="1"/>
    <xf numFmtId="0" fontId="16" fillId="0" borderId="40" xfId="16" applyFont="1" applyBorder="1" applyAlignment="1"/>
    <xf numFmtId="0" fontId="16" fillId="0" borderId="41" xfId="16" applyFont="1" applyBorder="1" applyAlignment="1"/>
    <xf numFmtId="0" fontId="16" fillId="0" borderId="38" xfId="16" applyFont="1" applyFill="1" applyBorder="1" applyAlignment="1"/>
    <xf numFmtId="0" fontId="26" fillId="0" borderId="38" xfId="9" applyFont="1" applyBorder="1" applyAlignment="1"/>
    <xf numFmtId="0" fontId="26" fillId="0" borderId="40" xfId="9" applyFont="1" applyBorder="1" applyAlignment="1">
      <alignment horizontal="center"/>
    </xf>
    <xf numFmtId="0" fontId="26" fillId="0" borderId="42" xfId="9" applyFont="1" applyBorder="1" applyAlignment="1">
      <alignment horizontal="center"/>
    </xf>
    <xf numFmtId="0" fontId="26" fillId="0" borderId="43" xfId="9" applyFont="1" applyBorder="1" applyAlignment="1">
      <alignment horizontal="center"/>
    </xf>
    <xf numFmtId="0" fontId="26" fillId="0" borderId="44" xfId="9" applyFont="1" applyBorder="1" applyAlignment="1">
      <alignment horizontal="center"/>
    </xf>
    <xf numFmtId="0" fontId="26" fillId="0" borderId="40" xfId="9" applyFont="1" applyFill="1" applyBorder="1" applyAlignment="1">
      <alignment horizontal="center"/>
    </xf>
    <xf numFmtId="0" fontId="26" fillId="0" borderId="38" xfId="9" applyFont="1" applyFill="1" applyBorder="1" applyAlignment="1">
      <alignment horizontal="center"/>
    </xf>
    <xf numFmtId="0" fontId="16" fillId="0" borderId="29" xfId="9" applyFont="1" applyBorder="1" applyAlignment="1"/>
    <xf numFmtId="0" fontId="26" fillId="0" borderId="45" xfId="9" applyFont="1" applyBorder="1" applyAlignment="1"/>
    <xf numFmtId="0" fontId="16" fillId="0" borderId="45" xfId="9" applyFont="1" applyBorder="1" applyAlignment="1">
      <alignment horizontal="center"/>
    </xf>
    <xf numFmtId="0" fontId="16" fillId="0" borderId="46" xfId="9" applyFont="1" applyBorder="1" applyAlignment="1">
      <alignment horizontal="center"/>
    </xf>
    <xf numFmtId="0" fontId="16" fillId="0" borderId="47" xfId="9" applyFont="1" applyBorder="1" applyAlignment="1">
      <alignment horizontal="center"/>
    </xf>
    <xf numFmtId="0" fontId="16" fillId="0" borderId="29" xfId="9" applyFont="1" applyFill="1" applyBorder="1" applyAlignment="1">
      <alignment horizontal="center"/>
    </xf>
    <xf numFmtId="0" fontId="16" fillId="0" borderId="34" xfId="16" applyFont="1" applyBorder="1" applyAlignment="1">
      <alignment horizontal="left"/>
    </xf>
    <xf numFmtId="0" fontId="16" fillId="0" borderId="33" xfId="9" applyFont="1" applyFill="1" applyBorder="1" applyAlignment="1">
      <alignment horizontal="center"/>
    </xf>
    <xf numFmtId="0" fontId="26" fillId="0" borderId="45" xfId="16" applyFont="1" applyBorder="1" applyAlignment="1">
      <alignment horizontal="left"/>
    </xf>
    <xf numFmtId="0" fontId="16" fillId="0" borderId="29" xfId="16" applyFont="1" applyFill="1" applyBorder="1" applyAlignment="1">
      <alignment horizontal="center"/>
    </xf>
    <xf numFmtId="0" fontId="16" fillId="0" borderId="34" xfId="9" applyFont="1" applyFill="1" applyBorder="1" applyAlignment="1"/>
    <xf numFmtId="0" fontId="26" fillId="0" borderId="48" xfId="9" applyFont="1" applyBorder="1" applyAlignment="1"/>
    <xf numFmtId="0" fontId="16" fillId="0" borderId="73" xfId="16" applyFont="1" applyBorder="1"/>
    <xf numFmtId="0" fontId="16" fillId="0" borderId="73" xfId="16" applyFont="1" applyFill="1" applyBorder="1" applyAlignment="1">
      <alignment horizontal="center"/>
    </xf>
    <xf numFmtId="0" fontId="16" fillId="0" borderId="73" xfId="9" applyFont="1" applyFill="1" applyBorder="1" applyAlignment="1">
      <alignment horizontal="center"/>
    </xf>
    <xf numFmtId="0" fontId="16" fillId="4" borderId="30" xfId="9" applyFont="1" applyFill="1" applyBorder="1" applyAlignment="1">
      <alignment horizontal="center"/>
    </xf>
    <xf numFmtId="0" fontId="0" fillId="0" borderId="0" xfId="0" applyFont="1"/>
    <xf numFmtId="0" fontId="18" fillId="9" borderId="1" xfId="1" applyFill="1" applyBorder="1" applyAlignment="1">
      <alignment horizontal="center"/>
    </xf>
    <xf numFmtId="0" fontId="26" fillId="0" borderId="55" xfId="14" applyFont="1" applyFill="1" applyBorder="1" applyAlignment="1"/>
    <xf numFmtId="0" fontId="16" fillId="13" borderId="74" xfId="6" applyFont="1" applyFill="1" applyBorder="1" applyAlignment="1"/>
    <xf numFmtId="0" fontId="26" fillId="0" borderId="52" xfId="14" applyFont="1" applyFill="1" applyBorder="1" applyAlignment="1"/>
    <xf numFmtId="0" fontId="57" fillId="0" borderId="0" xfId="1" applyFont="1" applyFill="1" applyBorder="1" applyAlignment="1"/>
    <xf numFmtId="0" fontId="59" fillId="0" borderId="0" xfId="1" applyFont="1" applyFill="1" applyBorder="1" applyAlignment="1"/>
    <xf numFmtId="0" fontId="14" fillId="0" borderId="18" xfId="14" applyFont="1" applyFill="1" applyBorder="1" applyAlignment="1"/>
    <xf numFmtId="0" fontId="58" fillId="0" borderId="0" xfId="1" applyFont="1" applyFill="1" applyBorder="1" applyAlignment="1"/>
    <xf numFmtId="0" fontId="60" fillId="0" borderId="17" xfId="1" applyFont="1" applyFill="1" applyBorder="1" applyAlignment="1"/>
    <xf numFmtId="0" fontId="60" fillId="0" borderId="0" xfId="1" applyFont="1" applyFill="1" applyBorder="1" applyAlignment="1"/>
    <xf numFmtId="0" fontId="60" fillId="0" borderId="76" xfId="1" applyFont="1" applyFill="1" applyBorder="1" applyAlignment="1"/>
    <xf numFmtId="0" fontId="14" fillId="0" borderId="67" xfId="14" applyFont="1" applyFill="1" applyBorder="1" applyAlignment="1"/>
    <xf numFmtId="0" fontId="59" fillId="0" borderId="76" xfId="1" applyFont="1" applyFill="1" applyBorder="1" applyAlignment="1"/>
    <xf numFmtId="0" fontId="60" fillId="0" borderId="49" xfId="1" applyFont="1" applyBorder="1" applyAlignment="1">
      <alignment vertical="top"/>
    </xf>
    <xf numFmtId="0" fontId="1" fillId="0" borderId="60" xfId="14" applyFont="1" applyFill="1" applyBorder="1" applyAlignment="1"/>
    <xf numFmtId="0" fontId="58" fillId="0" borderId="49" xfId="1" applyFont="1" applyFill="1" applyBorder="1" applyAlignment="1">
      <alignment horizontal="center"/>
    </xf>
    <xf numFmtId="0" fontId="60" fillId="0" borderId="77" xfId="1" applyFont="1" applyBorder="1" applyAlignment="1">
      <alignment vertical="top"/>
    </xf>
    <xf numFmtId="0" fontId="58" fillId="0" borderId="78" xfId="1" applyFont="1" applyFill="1" applyBorder="1" applyAlignment="1">
      <alignment horizontal="center"/>
    </xf>
    <xf numFmtId="0" fontId="59" fillId="0" borderId="62" xfId="1" applyFont="1" applyFill="1" applyBorder="1" applyAlignment="1"/>
    <xf numFmtId="0" fontId="59" fillId="0" borderId="50" xfId="1" applyFont="1" applyFill="1" applyBorder="1" applyAlignment="1"/>
    <xf numFmtId="0" fontId="60" fillId="0" borderId="53" xfId="6" applyFont="1" applyFill="1" applyBorder="1" applyAlignment="1"/>
    <xf numFmtId="0" fontId="61" fillId="0" borderId="53" xfId="6" applyFont="1" applyFill="1" applyBorder="1" applyAlignment="1"/>
    <xf numFmtId="0" fontId="62" fillId="0" borderId="50" xfId="6" applyFont="1" applyFill="1" applyBorder="1" applyAlignment="1"/>
    <xf numFmtId="0" fontId="62" fillId="0" borderId="53" xfId="6" applyFont="1" applyFill="1" applyBorder="1" applyAlignment="1"/>
    <xf numFmtId="0" fontId="60" fillId="0" borderId="50" xfId="6" applyFont="1" applyFill="1" applyBorder="1" applyAlignment="1"/>
    <xf numFmtId="0" fontId="58" fillId="0" borderId="52" xfId="1" applyFont="1" applyFill="1" applyBorder="1" applyAlignment="1"/>
    <xf numFmtId="0" fontId="63" fillId="22" borderId="52" xfId="1" applyFont="1" applyFill="1" applyBorder="1" applyAlignment="1"/>
    <xf numFmtId="0" fontId="63" fillId="22" borderId="52" xfId="1" applyFont="1" applyFill="1" applyBorder="1" applyAlignment="1">
      <alignment horizontal="center"/>
    </xf>
    <xf numFmtId="0" fontId="26" fillId="0" borderId="51" xfId="1" applyFont="1" applyFill="1" applyBorder="1" applyAlignment="1"/>
    <xf numFmtId="0" fontId="26" fillId="0" borderId="80" xfId="14" applyFont="1" applyFill="1" applyBorder="1" applyAlignment="1"/>
    <xf numFmtId="0" fontId="58" fillId="0" borderId="55" xfId="1" applyFont="1" applyFill="1" applyBorder="1" applyAlignment="1"/>
    <xf numFmtId="0" fontId="60" fillId="0" borderId="54" xfId="6" applyFont="1" applyFill="1" applyBorder="1" applyAlignment="1"/>
    <xf numFmtId="0" fontId="64" fillId="0" borderId="55" xfId="1" applyFont="1" applyFill="1" applyBorder="1" applyAlignment="1"/>
    <xf numFmtId="0" fontId="66" fillId="0" borderId="55" xfId="6" applyFont="1" applyFill="1" applyBorder="1" applyAlignment="1"/>
    <xf numFmtId="0" fontId="59" fillId="0" borderId="54" xfId="1" applyFont="1" applyFill="1" applyBorder="1" applyAlignment="1"/>
    <xf numFmtId="0" fontId="16" fillId="0" borderId="0" xfId="2" applyFont="1" applyFill="1" applyBorder="1" applyAlignment="1"/>
    <xf numFmtId="0" fontId="67" fillId="0" borderId="0" xfId="6" applyFont="1" applyFill="1" applyBorder="1" applyAlignment="1">
      <alignment horizontal="right" vertical="center"/>
    </xf>
    <xf numFmtId="0" fontId="60" fillId="0" borderId="0" xfId="6" applyFont="1" applyFill="1" applyBorder="1" applyAlignment="1"/>
    <xf numFmtId="0" fontId="63" fillId="0" borderId="49" xfId="1" applyFont="1" applyFill="1" applyBorder="1" applyAlignment="1">
      <alignment vertical="top"/>
    </xf>
    <xf numFmtId="0" fontId="26" fillId="0" borderId="66" xfId="6" applyFont="1" applyFill="1" applyBorder="1" applyAlignment="1"/>
    <xf numFmtId="0" fontId="16" fillId="15" borderId="0" xfId="7" applyFont="1" applyFill="1" applyBorder="1" applyAlignment="1">
      <alignment horizontal="right"/>
    </xf>
    <xf numFmtId="0" fontId="16" fillId="0" borderId="0" xfId="12" applyFont="1" applyFill="1" applyAlignment="1">
      <alignment horizontal="right"/>
    </xf>
    <xf numFmtId="0" fontId="44" fillId="0" borderId="0" xfId="8" applyFont="1" applyBorder="1" applyAlignment="1"/>
    <xf numFmtId="0" fontId="26" fillId="23" borderId="82" xfId="6" applyFont="1" applyFill="1" applyBorder="1" applyAlignment="1"/>
    <xf numFmtId="0" fontId="26" fillId="23" borderId="81" xfId="6" applyFont="1" applyFill="1" applyBorder="1" applyAlignment="1"/>
    <xf numFmtId="0" fontId="26" fillId="23" borderId="83" xfId="6" applyFont="1" applyFill="1" applyBorder="1" applyAlignment="1"/>
    <xf numFmtId="0" fontId="17" fillId="10" borderId="82" xfId="6" applyFont="1" applyFill="1" applyBorder="1" applyAlignment="1"/>
    <xf numFmtId="0" fontId="26" fillId="23" borderId="84" xfId="6" applyFont="1" applyFill="1" applyBorder="1" applyAlignment="1"/>
    <xf numFmtId="0" fontId="26" fillId="23" borderId="85" xfId="6" applyFont="1" applyFill="1" applyBorder="1" applyAlignment="1"/>
    <xf numFmtId="0" fontId="26" fillId="23" borderId="86" xfId="6" applyFont="1" applyFill="1" applyBorder="1" applyAlignment="1"/>
    <xf numFmtId="0" fontId="26" fillId="23" borderId="87" xfId="6" applyFont="1" applyFill="1" applyBorder="1" applyAlignment="1"/>
    <xf numFmtId="0" fontId="26" fillId="23" borderId="87" xfId="14" applyFont="1" applyFill="1" applyBorder="1" applyAlignment="1"/>
    <xf numFmtId="0" fontId="26" fillId="23" borderId="82" xfId="14" applyFont="1" applyFill="1" applyBorder="1" applyAlignment="1"/>
    <xf numFmtId="0" fontId="26" fillId="23" borderId="86" xfId="14" applyFont="1" applyFill="1" applyBorder="1" applyAlignment="1"/>
    <xf numFmtId="0" fontId="0" fillId="4" borderId="54" xfId="6" applyFont="1" applyFill="1" applyBorder="1" applyAlignment="1"/>
    <xf numFmtId="0" fontId="27" fillId="0" borderId="0" xfId="6" applyFont="1" applyFill="1" applyAlignment="1"/>
    <xf numFmtId="0" fontId="14" fillId="9" borderId="0" xfId="0" applyFont="1" applyFill="1"/>
    <xf numFmtId="0" fontId="0" fillId="5" borderId="0" xfId="0" applyFont="1" applyFill="1"/>
    <xf numFmtId="0" fontId="16" fillId="5" borderId="1" xfId="6" applyNumberFormat="1" applyFont="1" applyFill="1" applyBorder="1" applyAlignment="1"/>
    <xf numFmtId="49" fontId="16" fillId="5" borderId="1" xfId="6" applyNumberFormat="1" applyFont="1" applyFill="1" applyBorder="1" applyAlignment="1"/>
    <xf numFmtId="0" fontId="33" fillId="5" borderId="1" xfId="1" applyFont="1" applyFill="1" applyBorder="1" applyAlignment="1"/>
    <xf numFmtId="0" fontId="0" fillId="5" borderId="1" xfId="0" applyNumberFormat="1" applyFont="1" applyFill="1" applyBorder="1" applyAlignment="1"/>
    <xf numFmtId="164" fontId="16" fillId="5" borderId="1" xfId="6" applyNumberFormat="1" applyFont="1" applyFill="1" applyBorder="1" applyAlignment="1">
      <alignment horizontal="center"/>
    </xf>
    <xf numFmtId="166" fontId="16" fillId="5" borderId="1" xfId="6" applyNumberFormat="1" applyFont="1" applyFill="1" applyBorder="1" applyAlignment="1">
      <alignment horizontal="center"/>
    </xf>
    <xf numFmtId="0" fontId="16" fillId="0" borderId="0" xfId="6" applyNumberFormat="1" applyFont="1" applyFill="1" applyAlignment="1">
      <alignment horizontal="left"/>
    </xf>
    <xf numFmtId="0" fontId="0" fillId="6" borderId="0" xfId="6" applyFont="1" applyFill="1" applyAlignment="1"/>
    <xf numFmtId="0" fontId="33" fillId="24" borderId="75" xfId="1" applyFont="1" applyFill="1" applyBorder="1" applyAlignment="1"/>
    <xf numFmtId="0" fontId="26" fillId="13" borderId="88" xfId="6" applyFont="1" applyFill="1" applyBorder="1" applyAlignment="1"/>
    <xf numFmtId="0" fontId="0" fillId="13" borderId="54" xfId="6" applyFont="1" applyFill="1" applyBorder="1" applyAlignment="1"/>
    <xf numFmtId="0" fontId="0" fillId="13" borderId="53" xfId="6" applyFont="1" applyFill="1" applyBorder="1" applyAlignment="1"/>
    <xf numFmtId="0" fontId="0" fillId="0" borderId="54" xfId="6" applyFont="1" applyFill="1" applyBorder="1" applyAlignment="1"/>
    <xf numFmtId="0" fontId="0" fillId="0" borderId="1" xfId="12" applyFont="1" applyFill="1" applyBorder="1" applyAlignment="1"/>
    <xf numFmtId="0" fontId="0" fillId="0" borderId="0" xfId="12" applyFont="1" applyFill="1" applyAlignment="1">
      <alignment horizontal="right"/>
    </xf>
    <xf numFmtId="0" fontId="16" fillId="0" borderId="14" xfId="6" quotePrefix="1" applyFont="1" applyBorder="1" applyAlignment="1"/>
    <xf numFmtId="0" fontId="16" fillId="0" borderId="14" xfId="19" applyFont="1" applyBorder="1" applyAlignment="1">
      <alignment horizontal="center"/>
    </xf>
    <xf numFmtId="0" fontId="18" fillId="5" borderId="1" xfId="1" applyNumberFormat="1" applyFill="1" applyBorder="1" applyAlignment="1"/>
    <xf numFmtId="0" fontId="2" fillId="0" borderId="1" xfId="8" applyFont="1" applyFill="1" applyBorder="1" applyAlignment="1">
      <alignment textRotation="90"/>
    </xf>
    <xf numFmtId="0" fontId="51" fillId="13" borderId="25" xfId="2" applyNumberFormat="1" applyFont="1" applyFill="1" applyBorder="1" applyAlignment="1" applyProtection="1">
      <alignment horizontal="center" vertical="center" wrapText="1"/>
    </xf>
    <xf numFmtId="0" fontId="68" fillId="0" borderId="51" xfId="1" applyFont="1" applyFill="1" applyBorder="1" applyAlignment="1"/>
    <xf numFmtId="0" fontId="69" fillId="0" borderId="0" xfId="0" applyFont="1" applyFill="1" applyBorder="1" applyAlignment="1"/>
    <xf numFmtId="0" fontId="68" fillId="0" borderId="68" xfId="1" applyFont="1" applyFill="1" applyBorder="1" applyAlignment="1"/>
    <xf numFmtId="0" fontId="68" fillId="0" borderId="50" xfId="1" applyFont="1" applyFill="1" applyBorder="1" applyAlignment="1"/>
    <xf numFmtId="0" fontId="70" fillId="0" borderId="54" xfId="6" applyFont="1" applyFill="1" applyBorder="1" applyAlignment="1"/>
    <xf numFmtId="0" fontId="71" fillId="0" borderId="51" xfId="1" applyFont="1" applyFill="1" applyBorder="1" applyAlignment="1"/>
    <xf numFmtId="0" fontId="70" fillId="0" borderId="0" xfId="0" applyFont="1" applyFill="1" applyBorder="1" applyAlignment="1"/>
    <xf numFmtId="0" fontId="68" fillId="0" borderId="53" xfId="1" applyFont="1" applyFill="1" applyBorder="1" applyAlignment="1"/>
    <xf numFmtId="0" fontId="69" fillId="0" borderId="54" xfId="6" applyFont="1" applyFill="1" applyBorder="1" applyAlignment="1"/>
    <xf numFmtId="0" fontId="68" fillId="0" borderId="53" xfId="1" applyFont="1" applyBorder="1" applyAlignment="1"/>
    <xf numFmtId="0" fontId="69" fillId="0" borderId="21" xfId="6" applyFont="1" applyFill="1" applyBorder="1" applyAlignment="1"/>
    <xf numFmtId="0" fontId="68" fillId="0" borderId="0" xfId="1" applyFont="1" applyFill="1" applyBorder="1" applyAlignment="1"/>
    <xf numFmtId="0" fontId="69" fillId="0" borderId="53" xfId="14" applyFont="1" applyFill="1" applyBorder="1" applyAlignment="1"/>
    <xf numFmtId="0" fontId="69" fillId="0" borderId="66" xfId="14" applyFont="1" applyFill="1" applyBorder="1" applyAlignment="1"/>
    <xf numFmtId="0" fontId="69" fillId="0" borderId="79" xfId="14" applyFont="1" applyFill="1" applyBorder="1" applyAlignment="1"/>
    <xf numFmtId="0" fontId="69" fillId="0" borderId="0" xfId="6" applyFont="1" applyFill="1" applyAlignment="1">
      <alignment horizontal="right"/>
    </xf>
    <xf numFmtId="0" fontId="72" fillId="0" borderId="50" xfId="1" applyFont="1" applyBorder="1"/>
    <xf numFmtId="0" fontId="73" fillId="0" borderId="54" xfId="6" applyFont="1" applyFill="1" applyBorder="1" applyAlignment="1"/>
    <xf numFmtId="0" fontId="72" fillId="2" borderId="50" xfId="1" applyFont="1" applyFill="1" applyBorder="1" applyAlignment="1">
      <alignment vertical="top"/>
    </xf>
    <xf numFmtId="0" fontId="72" fillId="0" borderId="50" xfId="2" applyFont="1" applyBorder="1"/>
    <xf numFmtId="0" fontId="72" fillId="0" borderId="50" xfId="1" applyFont="1" applyBorder="1" applyAlignment="1"/>
    <xf numFmtId="0" fontId="0" fillId="5" borderId="1" xfId="6" applyNumberFormat="1" applyFont="1" applyFill="1" applyBorder="1" applyAlignment="1"/>
    <xf numFmtId="0" fontId="75" fillId="0" borderId="1" xfId="12" applyFont="1" applyFill="1" applyBorder="1" applyAlignment="1">
      <alignment horizontal="center"/>
    </xf>
    <xf numFmtId="0" fontId="75" fillId="0" borderId="1" xfId="20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/>
    </xf>
    <xf numFmtId="0" fontId="35" fillId="9" borderId="1" xfId="8" applyFont="1" applyFill="1" applyBorder="1" applyAlignment="1">
      <alignment horizontal="center"/>
    </xf>
    <xf numFmtId="0" fontId="35" fillId="14" borderId="1" xfId="21" applyFont="1" applyFill="1" applyBorder="1" applyAlignment="1">
      <alignment horizontal="center"/>
    </xf>
    <xf numFmtId="0" fontId="35" fillId="14" borderId="1" xfId="8" applyFont="1" applyFill="1" applyBorder="1" applyAlignment="1">
      <alignment horizontal="center"/>
    </xf>
    <xf numFmtId="168" fontId="35" fillId="6" borderId="1" xfId="8" applyNumberFormat="1" applyFont="1" applyFill="1" applyBorder="1" applyAlignment="1">
      <alignment horizontal="center"/>
    </xf>
    <xf numFmtId="0" fontId="35" fillId="6" borderId="1" xfId="8" applyFont="1" applyFill="1" applyBorder="1" applyAlignment="1">
      <alignment horizontal="center"/>
    </xf>
    <xf numFmtId="0" fontId="35" fillId="13" borderId="25" xfId="21" applyFont="1" applyFill="1" applyBorder="1" applyAlignment="1">
      <alignment horizontal="center"/>
    </xf>
    <xf numFmtId="0" fontId="26" fillId="13" borderId="25" xfId="21" applyFont="1" applyFill="1" applyBorder="1" applyAlignment="1"/>
    <xf numFmtId="0" fontId="17" fillId="7" borderId="1" xfId="0" applyFont="1" applyFill="1" applyBorder="1"/>
    <xf numFmtId="0" fontId="75" fillId="0" borderId="1" xfId="8" applyFont="1" applyFill="1" applyBorder="1" applyAlignment="1">
      <alignment horizontal="center"/>
    </xf>
    <xf numFmtId="0" fontId="75" fillId="0" borderId="1" xfId="8" applyFont="1" applyBorder="1" applyAlignment="1">
      <alignment horizontal="center"/>
    </xf>
    <xf numFmtId="0" fontId="75" fillId="0" borderId="1" xfId="21" applyFont="1" applyFill="1" applyBorder="1" applyAlignment="1">
      <alignment horizontal="center"/>
    </xf>
    <xf numFmtId="0" fontId="76" fillId="0" borderId="7" xfId="6" applyFont="1" applyFill="1" applyBorder="1" applyAlignment="1">
      <alignment horizontal="right"/>
    </xf>
    <xf numFmtId="0" fontId="55" fillId="0" borderId="0" xfId="6" applyFont="1" applyFill="1" applyBorder="1" applyAlignment="1">
      <alignment horizontal="right"/>
    </xf>
    <xf numFmtId="0" fontId="16" fillId="0" borderId="91" xfId="6" applyFont="1" applyFill="1" applyBorder="1"/>
    <xf numFmtId="0" fontId="2" fillId="0" borderId="90" xfId="6" applyFont="1" applyFill="1" applyBorder="1" applyAlignment="1">
      <alignment horizontal="left"/>
    </xf>
    <xf numFmtId="0" fontId="69" fillId="0" borderId="92" xfId="14" applyFont="1" applyFill="1" applyBorder="1" applyAlignment="1"/>
    <xf numFmtId="0" fontId="69" fillId="0" borderId="93" xfId="14" applyFont="1" applyFill="1" applyBorder="1" applyAlignment="1"/>
    <xf numFmtId="0" fontId="69" fillId="0" borderId="93" xfId="14" applyFont="1" applyFill="1" applyBorder="1" applyAlignment="1">
      <alignment horizontal="center"/>
    </xf>
    <xf numFmtId="0" fontId="26" fillId="0" borderId="94" xfId="14" applyFont="1" applyFill="1" applyBorder="1" applyAlignment="1"/>
    <xf numFmtId="0" fontId="16" fillId="0" borderId="96" xfId="6" applyFont="1" applyBorder="1" applyAlignment="1">
      <alignment vertical="top"/>
    </xf>
    <xf numFmtId="0" fontId="26" fillId="0" borderId="97" xfId="14" applyFont="1" applyFill="1" applyBorder="1" applyAlignment="1"/>
    <xf numFmtId="0" fontId="68" fillId="0" borderId="97" xfId="1" applyFont="1" applyBorder="1" applyAlignment="1">
      <alignment vertical="top"/>
    </xf>
    <xf numFmtId="0" fontId="26" fillId="0" borderId="97" xfId="6" applyFont="1" applyFill="1" applyBorder="1" applyAlignment="1"/>
    <xf numFmtId="0" fontId="69" fillId="0" borderId="97" xfId="14" applyFont="1" applyFill="1" applyBorder="1" applyAlignment="1"/>
    <xf numFmtId="0" fontId="58" fillId="0" borderId="50" xfId="1" applyFont="1" applyFill="1" applyBorder="1" applyAlignment="1"/>
    <xf numFmtId="0" fontId="58" fillId="22" borderId="95" xfId="1" applyFont="1" applyFill="1" applyBorder="1" applyAlignment="1">
      <alignment horizontal="right"/>
    </xf>
    <xf numFmtId="0" fontId="58" fillId="22" borderId="97" xfId="1" applyFont="1" applyFill="1" applyBorder="1" applyAlignment="1">
      <alignment horizontal="right"/>
    </xf>
    <xf numFmtId="0" fontId="26" fillId="0" borderId="98" xfId="6" applyFont="1" applyFill="1" applyBorder="1" applyAlignment="1"/>
    <xf numFmtId="0" fontId="30" fillId="2" borderId="50" xfId="1" applyFont="1" applyFill="1" applyBorder="1" applyAlignment="1">
      <alignment vertical="top"/>
    </xf>
    <xf numFmtId="0" fontId="30" fillId="0" borderId="50" xfId="1" applyFont="1" applyBorder="1" applyAlignment="1"/>
    <xf numFmtId="0" fontId="30" fillId="0" borderId="50" xfId="1" applyFont="1" applyBorder="1"/>
    <xf numFmtId="0" fontId="30" fillId="4" borderId="50" xfId="1" applyFont="1" applyFill="1" applyBorder="1" applyAlignment="1"/>
    <xf numFmtId="0" fontId="58" fillId="0" borderId="60" xfId="1" applyFont="1" applyFill="1" applyBorder="1" applyAlignment="1">
      <alignment horizontal="right"/>
    </xf>
    <xf numFmtId="0" fontId="69" fillId="0" borderId="94" xfId="14" applyFont="1" applyFill="1" applyBorder="1" applyAlignment="1"/>
    <xf numFmtId="0" fontId="58" fillId="0" borderId="99" xfId="1" applyFont="1" applyFill="1" applyBorder="1" applyAlignment="1">
      <alignment horizontal="right"/>
    </xf>
    <xf numFmtId="0" fontId="68" fillId="0" borderId="97" xfId="1" applyFont="1" applyBorder="1" applyAlignment="1">
      <alignment horizontal="center" vertical="top"/>
    </xf>
    <xf numFmtId="0" fontId="58" fillId="0" borderId="53" xfId="1" applyFont="1" applyFill="1" applyBorder="1" applyAlignment="1"/>
    <xf numFmtId="0" fontId="69" fillId="0" borderId="101" xfId="1" applyFont="1" applyFill="1" applyBorder="1" applyAlignment="1"/>
    <xf numFmtId="0" fontId="69" fillId="0" borderId="100" xfId="1" applyFont="1" applyFill="1" applyBorder="1" applyAlignment="1"/>
    <xf numFmtId="0" fontId="69" fillId="0" borderId="100" xfId="1" applyFont="1" applyFill="1" applyBorder="1" applyAlignment="1">
      <alignment horizontal="center"/>
    </xf>
    <xf numFmtId="0" fontId="69" fillId="0" borderId="100" xfId="14" applyFont="1" applyFill="1" applyBorder="1" applyAlignment="1"/>
    <xf numFmtId="0" fontId="58" fillId="0" borderId="102" xfId="1" applyFont="1" applyFill="1" applyBorder="1" applyAlignment="1"/>
    <xf numFmtId="0" fontId="68" fillId="0" borderId="97" xfId="1" applyFont="1" applyBorder="1" applyAlignment="1"/>
    <xf numFmtId="0" fontId="68" fillId="0" borderId="97" xfId="1" applyFont="1" applyFill="1" applyBorder="1" applyAlignment="1">
      <alignment horizontal="center"/>
    </xf>
    <xf numFmtId="0" fontId="69" fillId="0" borderId="97" xfId="0" applyFont="1" applyFill="1" applyBorder="1" applyAlignment="1"/>
    <xf numFmtId="0" fontId="64" fillId="0" borderId="103" xfId="1" applyFont="1" applyFill="1" applyBorder="1" applyAlignment="1">
      <alignment horizontal="right"/>
    </xf>
    <xf numFmtId="0" fontId="45" fillId="0" borderId="1" xfId="12" applyFont="1" applyFill="1" applyBorder="1" applyAlignment="1"/>
    <xf numFmtId="0" fontId="26" fillId="13" borderId="1" xfId="8" applyFont="1" applyFill="1" applyBorder="1" applyAlignment="1"/>
    <xf numFmtId="0" fontId="26" fillId="0" borderId="25" xfId="9" applyFont="1" applyFill="1" applyBorder="1" applyAlignment="1"/>
    <xf numFmtId="0" fontId="26" fillId="0" borderId="25" xfId="6" applyFont="1" applyFill="1" applyBorder="1" applyAlignment="1"/>
    <xf numFmtId="0" fontId="26" fillId="4" borderId="27" xfId="12" applyFont="1" applyFill="1" applyBorder="1" applyAlignment="1">
      <alignment horizontal="center"/>
    </xf>
    <xf numFmtId="0" fontId="16" fillId="4" borderId="28" xfId="12" applyFont="1" applyFill="1" applyBorder="1" applyAlignment="1"/>
    <xf numFmtId="0" fontId="26" fillId="4" borderId="26" xfId="12" applyFont="1" applyFill="1" applyBorder="1" applyAlignment="1"/>
    <xf numFmtId="0" fontId="26" fillId="4" borderId="28" xfId="12" applyFont="1" applyFill="1" applyBorder="1" applyAlignment="1">
      <alignment horizontal="center"/>
    </xf>
    <xf numFmtId="0" fontId="26" fillId="4" borderId="1" xfId="12" applyFont="1" applyFill="1" applyBorder="1" applyAlignment="1">
      <alignment horizontal="center"/>
    </xf>
    <xf numFmtId="166" fontId="26" fillId="4" borderId="1" xfId="8" applyNumberFormat="1" applyFont="1" applyFill="1" applyBorder="1" applyAlignment="1">
      <alignment horizontal="center"/>
    </xf>
    <xf numFmtId="166" fontId="26" fillId="4" borderId="1" xfId="12" applyNumberFormat="1" applyFont="1" applyFill="1" applyBorder="1" applyAlignment="1">
      <alignment horizontal="center"/>
    </xf>
    <xf numFmtId="0" fontId="26" fillId="4" borderId="1" xfId="8" applyFont="1" applyFill="1" applyBorder="1" applyAlignment="1"/>
    <xf numFmtId="0" fontId="26" fillId="4" borderId="1" xfId="12" applyFont="1" applyFill="1" applyBorder="1" applyAlignment="1"/>
    <xf numFmtId="0" fontId="26" fillId="4" borderId="27" xfId="8" applyFont="1" applyFill="1" applyBorder="1" applyAlignment="1"/>
    <xf numFmtId="0" fontId="26" fillId="4" borderId="27" xfId="8" applyFont="1" applyFill="1" applyBorder="1" applyAlignment="1">
      <alignment horizontal="center"/>
    </xf>
    <xf numFmtId="0" fontId="16" fillId="4" borderId="28" xfId="8" applyFont="1" applyFill="1" applyBorder="1" applyAlignment="1">
      <alignment horizontal="center"/>
    </xf>
    <xf numFmtId="0" fontId="26" fillId="4" borderId="1" xfId="8" applyFont="1" applyFill="1" applyBorder="1" applyAlignment="1">
      <alignment horizontal="center"/>
    </xf>
    <xf numFmtId="0" fontId="26" fillId="4" borderId="26" xfId="8" applyFont="1" applyFill="1" applyBorder="1" applyAlignment="1"/>
    <xf numFmtId="166" fontId="26" fillId="4" borderId="0" xfId="8" applyNumberFormat="1" applyFont="1" applyFill="1" applyBorder="1" applyAlignment="1">
      <alignment horizontal="center"/>
    </xf>
    <xf numFmtId="0" fontId="16" fillId="4" borderId="27" xfId="12" applyFont="1" applyFill="1" applyBorder="1" applyAlignment="1"/>
    <xf numFmtId="0" fontId="45" fillId="4" borderId="0" xfId="12" applyFont="1" applyFill="1" applyAlignment="1"/>
    <xf numFmtId="0" fontId="32" fillId="4" borderId="0" xfId="12" applyFont="1" applyFill="1" applyAlignment="1"/>
    <xf numFmtId="0" fontId="26" fillId="25" borderId="26" xfId="8" applyFont="1" applyFill="1" applyBorder="1" applyAlignment="1"/>
    <xf numFmtId="0" fontId="26" fillId="25" borderId="27" xfId="8" applyFont="1" applyFill="1" applyBorder="1" applyAlignment="1"/>
    <xf numFmtId="0" fontId="26" fillId="25" borderId="27" xfId="8" applyFont="1" applyFill="1" applyBorder="1" applyAlignment="1">
      <alignment horizontal="center"/>
    </xf>
    <xf numFmtId="0" fontId="16" fillId="25" borderId="28" xfId="8" applyFont="1" applyFill="1" applyBorder="1" applyAlignment="1">
      <alignment horizontal="center"/>
    </xf>
    <xf numFmtId="0" fontId="26" fillId="4" borderId="28" xfId="8" applyFont="1" applyFill="1" applyBorder="1" applyAlignment="1">
      <alignment horizontal="center"/>
    </xf>
    <xf numFmtId="0" fontId="0" fillId="0" borderId="26" xfId="0" applyFont="1" applyFill="1" applyBorder="1"/>
    <xf numFmtId="0" fontId="16" fillId="0" borderId="27" xfId="6" applyFont="1" applyBorder="1"/>
    <xf numFmtId="0" fontId="16" fillId="0" borderId="28" xfId="6" applyFont="1" applyBorder="1"/>
    <xf numFmtId="0" fontId="16" fillId="0" borderId="26" xfId="12" applyFont="1" applyFill="1" applyBorder="1" applyAlignment="1"/>
    <xf numFmtId="0" fontId="26" fillId="5" borderId="1" xfId="0" applyFont="1" applyFill="1" applyBorder="1"/>
    <xf numFmtId="0" fontId="69" fillId="0" borderId="104" xfId="6" applyFont="1" applyBorder="1" applyAlignment="1">
      <alignment vertical="top"/>
    </xf>
    <xf numFmtId="0" fontId="64" fillId="0" borderId="105" xfId="1" applyFont="1" applyFill="1" applyBorder="1" applyAlignment="1"/>
    <xf numFmtId="0" fontId="30" fillId="9" borderId="104" xfId="1" applyFont="1" applyFill="1" applyBorder="1" applyAlignment="1"/>
    <xf numFmtId="0" fontId="26" fillId="9" borderId="105" xfId="6" applyFont="1" applyFill="1" applyBorder="1" applyAlignment="1"/>
    <xf numFmtId="0" fontId="18" fillId="0" borderId="106" xfId="1" applyFill="1" applyBorder="1" applyAlignment="1"/>
    <xf numFmtId="0" fontId="26" fillId="0" borderId="107" xfId="6" applyFont="1" applyFill="1" applyBorder="1" applyAlignment="1"/>
    <xf numFmtId="0" fontId="71" fillId="0" borderId="106" xfId="1" applyFont="1" applyFill="1" applyBorder="1" applyAlignment="1"/>
    <xf numFmtId="0" fontId="66" fillId="0" borderId="107" xfId="6" applyFont="1" applyFill="1" applyBorder="1" applyAlignment="1"/>
    <xf numFmtId="0" fontId="72" fillId="0" borderId="104" xfId="1" applyFont="1" applyFill="1" applyBorder="1" applyAlignment="1"/>
    <xf numFmtId="0" fontId="26" fillId="0" borderId="105" xfId="6" applyFont="1" applyFill="1" applyBorder="1" applyAlignment="1"/>
    <xf numFmtId="0" fontId="33" fillId="16" borderId="104" xfId="2" applyFont="1" applyFill="1" applyBorder="1" applyAlignment="1"/>
    <xf numFmtId="0" fontId="26" fillId="16" borderId="105" xfId="6" applyFont="1" applyFill="1" applyBorder="1" applyAlignment="1"/>
    <xf numFmtId="0" fontId="68" fillId="0" borderId="106" xfId="1" applyFont="1" applyFill="1" applyBorder="1" applyAlignment="1"/>
    <xf numFmtId="0" fontId="68" fillId="0" borderId="108" xfId="1" applyFont="1" applyFill="1" applyBorder="1" applyAlignment="1"/>
    <xf numFmtId="0" fontId="30" fillId="0" borderId="104" xfId="1" applyFont="1" applyBorder="1" applyAlignment="1"/>
    <xf numFmtId="0" fontId="68" fillId="0" borderId="106" xfId="1" applyFont="1" applyBorder="1" applyAlignment="1"/>
    <xf numFmtId="0" fontId="0" fillId="0" borderId="104" xfId="0" applyFont="1" applyFill="1" applyBorder="1" applyAlignment="1"/>
    <xf numFmtId="0" fontId="36" fillId="0" borderId="109" xfId="1" applyFont="1" applyFill="1" applyBorder="1" applyAlignment="1"/>
    <xf numFmtId="0" fontId="33" fillId="0" borderId="106" xfId="1" applyFont="1" applyFill="1" applyBorder="1" applyAlignment="1"/>
    <xf numFmtId="0" fontId="26" fillId="0" borderId="110" xfId="6" applyFont="1" applyFill="1" applyBorder="1" applyAlignment="1"/>
    <xf numFmtId="0" fontId="72" fillId="2" borderId="111" xfId="1" applyFont="1" applyFill="1" applyBorder="1" applyAlignment="1"/>
    <xf numFmtId="0" fontId="26" fillId="0" borderId="109" xfId="6" applyFont="1" applyFill="1" applyBorder="1" applyAlignment="1"/>
    <xf numFmtId="0" fontId="30" fillId="9" borderId="111" xfId="1" applyFont="1" applyFill="1" applyBorder="1"/>
    <xf numFmtId="0" fontId="26" fillId="9" borderId="109" xfId="6" applyFont="1" applyFill="1" applyBorder="1" applyAlignment="1"/>
    <xf numFmtId="0" fontId="69" fillId="0" borderId="112" xfId="0" applyFont="1" applyFill="1" applyBorder="1" applyAlignment="1"/>
    <xf numFmtId="0" fontId="40" fillId="0" borderId="113" xfId="6" applyFont="1" applyFill="1" applyBorder="1" applyAlignment="1"/>
    <xf numFmtId="0" fontId="68" fillId="0" borderId="113" xfId="1" applyFont="1" applyFill="1" applyBorder="1" applyAlignment="1"/>
    <xf numFmtId="0" fontId="69" fillId="0" borderId="113" xfId="0" applyFont="1" applyFill="1" applyBorder="1" applyAlignment="1"/>
    <xf numFmtId="0" fontId="65" fillId="0" borderId="114" xfId="6" applyFont="1" applyFill="1" applyBorder="1" applyAlignment="1"/>
    <xf numFmtId="0" fontId="69" fillId="0" borderId="115" xfId="0" applyFont="1" applyFill="1" applyBorder="1" applyAlignment="1"/>
    <xf numFmtId="0" fontId="40" fillId="0" borderId="116" xfId="6" applyFont="1" applyFill="1" applyBorder="1" applyAlignment="1"/>
    <xf numFmtId="0" fontId="40" fillId="0" borderId="97" xfId="6" applyFont="1" applyFill="1" applyBorder="1" applyAlignment="1"/>
    <xf numFmtId="0" fontId="69" fillId="0" borderId="116" xfId="0" applyFont="1" applyFill="1" applyBorder="1" applyAlignment="1"/>
    <xf numFmtId="0" fontId="64" fillId="0" borderId="117" xfId="1" applyFont="1" applyFill="1" applyBorder="1" applyAlignment="1"/>
    <xf numFmtId="0" fontId="33" fillId="0" borderId="104" xfId="1" applyFont="1" applyFill="1" applyBorder="1" applyAlignment="1"/>
    <xf numFmtId="0" fontId="36" fillId="0" borderId="105" xfId="1" applyFont="1" applyFill="1" applyBorder="1" applyAlignment="1"/>
    <xf numFmtId="0" fontId="26" fillId="0" borderId="104" xfId="0" applyFont="1" applyFill="1" applyBorder="1" applyAlignment="1"/>
    <xf numFmtId="0" fontId="0" fillId="0" borderId="118" xfId="0" applyFont="1" applyFill="1" applyBorder="1" applyAlignment="1"/>
    <xf numFmtId="0" fontId="26" fillId="12" borderId="105" xfId="6" applyFont="1" applyFill="1" applyBorder="1" applyAlignment="1"/>
    <xf numFmtId="0" fontId="40" fillId="0" borderId="119" xfId="6" applyFont="1" applyFill="1" applyBorder="1" applyAlignment="1"/>
    <xf numFmtId="0" fontId="69" fillId="0" borderId="102" xfId="6" applyFont="1" applyFill="1" applyBorder="1" applyAlignment="1"/>
    <xf numFmtId="0" fontId="58" fillId="0" borderId="103" xfId="1" applyFont="1" applyFill="1" applyBorder="1" applyAlignment="1"/>
    <xf numFmtId="0" fontId="69" fillId="0" borderId="97" xfId="6" applyFont="1" applyFill="1" applyBorder="1" applyAlignment="1"/>
    <xf numFmtId="0" fontId="26" fillId="13" borderId="89" xfId="6" applyFont="1" applyFill="1" applyBorder="1" applyAlignment="1"/>
    <xf numFmtId="0" fontId="16" fillId="0" borderId="104" xfId="6" applyFont="1" applyFill="1" applyBorder="1" applyAlignment="1"/>
    <xf numFmtId="0" fontId="33" fillId="2" borderId="104" xfId="1" applyFont="1" applyFill="1" applyBorder="1" applyAlignment="1"/>
    <xf numFmtId="0" fontId="16" fillId="0" borderId="104" xfId="2" applyFont="1" applyFill="1" applyBorder="1" applyAlignment="1"/>
    <xf numFmtId="0" fontId="58" fillId="0" borderId="112" xfId="1" applyFont="1" applyFill="1" applyBorder="1" applyAlignment="1"/>
    <xf numFmtId="0" fontId="26" fillId="0" borderId="113" xfId="6" applyFont="1" applyFill="1" applyBorder="1" applyAlignment="1"/>
    <xf numFmtId="0" fontId="69" fillId="0" borderId="113" xfId="6" applyFont="1" applyFill="1" applyBorder="1" applyAlignment="1"/>
    <xf numFmtId="0" fontId="68" fillId="0" borderId="113" xfId="1" applyFont="1" applyFill="1" applyBorder="1" applyAlignment="1">
      <alignment horizontal="center"/>
    </xf>
    <xf numFmtId="0" fontId="58" fillId="0" borderId="119" xfId="1" applyFont="1" applyFill="1" applyBorder="1" applyAlignment="1">
      <alignment horizontal="center"/>
    </xf>
    <xf numFmtId="0" fontId="41" fillId="6" borderId="104" xfId="1" applyFont="1" applyFill="1" applyBorder="1" applyAlignment="1"/>
    <xf numFmtId="0" fontId="16" fillId="6" borderId="105" xfId="6" applyFont="1" applyFill="1" applyBorder="1" applyAlignment="1">
      <alignment horizontal="right"/>
    </xf>
    <xf numFmtId="0" fontId="74" fillId="0" borderId="106" xfId="1" applyFont="1" applyFill="1" applyBorder="1" applyAlignment="1"/>
    <xf numFmtId="0" fontId="31" fillId="0" borderId="113" xfId="6" applyFont="1" applyFill="1" applyBorder="1" applyAlignment="1"/>
    <xf numFmtId="0" fontId="58" fillId="0" borderId="97" xfId="1" applyFont="1" applyFill="1" applyBorder="1" applyAlignment="1"/>
    <xf numFmtId="0" fontId="31" fillId="0" borderId="97" xfId="6" applyFont="1" applyFill="1" applyBorder="1" applyAlignment="1"/>
    <xf numFmtId="0" fontId="33" fillId="4" borderId="104" xfId="1" applyFont="1" applyFill="1" applyBorder="1" applyAlignment="1"/>
    <xf numFmtId="0" fontId="0" fillId="4" borderId="105" xfId="0" applyFont="1" applyFill="1" applyBorder="1" applyAlignment="1"/>
    <xf numFmtId="0" fontId="18" fillId="0" borderId="106" xfId="1" applyBorder="1"/>
    <xf numFmtId="0" fontId="0" fillId="0" borderId="107" xfId="0" applyFont="1" applyFill="1" applyBorder="1" applyAlignment="1"/>
    <xf numFmtId="0" fontId="16" fillId="13" borderId="6" xfId="6" applyNumberFormat="1" applyFont="1" applyFill="1" applyBorder="1" applyAlignment="1">
      <alignment vertical="center"/>
    </xf>
    <xf numFmtId="0" fontId="16" fillId="13" borderId="9" xfId="6" applyNumberFormat="1" applyFont="1" applyFill="1" applyBorder="1" applyAlignment="1">
      <alignment vertical="center"/>
    </xf>
    <xf numFmtId="49" fontId="16" fillId="13" borderId="6" xfId="6" applyNumberFormat="1" applyFont="1" applyFill="1" applyBorder="1" applyAlignment="1">
      <alignment vertical="center"/>
    </xf>
    <xf numFmtId="49" fontId="16" fillId="13" borderId="9" xfId="6" applyNumberFormat="1" applyFont="1" applyFill="1" applyBorder="1" applyAlignment="1">
      <alignment vertical="center"/>
    </xf>
    <xf numFmtId="0" fontId="33" fillId="13" borderId="6" xfId="1" applyNumberFormat="1" applyFont="1" applyFill="1" applyBorder="1" applyAlignment="1">
      <alignment vertical="center"/>
    </xf>
    <xf numFmtId="0" fontId="33" fillId="13" borderId="9" xfId="1" applyNumberFormat="1" applyFont="1" applyFill="1" applyBorder="1" applyAlignment="1">
      <alignment vertical="center"/>
    </xf>
    <xf numFmtId="0" fontId="67" fillId="0" borderId="53" xfId="6" applyFont="1" applyFill="1" applyBorder="1" applyAlignment="1">
      <alignment horizontal="right" vertical="center" wrapText="1"/>
    </xf>
    <xf numFmtId="0" fontId="67" fillId="0" borderId="54" xfId="6" applyFont="1" applyFill="1" applyBorder="1" applyAlignment="1">
      <alignment horizontal="right" vertical="center"/>
    </xf>
    <xf numFmtId="0" fontId="67" fillId="0" borderId="50" xfId="6" applyFont="1" applyFill="1" applyBorder="1" applyAlignment="1">
      <alignment horizontal="right" vertical="center"/>
    </xf>
    <xf numFmtId="0" fontId="0" fillId="0" borderId="54" xfId="0" applyFont="1" applyFill="1" applyBorder="1" applyAlignment="1">
      <alignment horizontal="right"/>
    </xf>
    <xf numFmtId="0" fontId="0" fillId="0" borderId="50" xfId="0" applyFont="1" applyFill="1" applyBorder="1" applyAlignment="1">
      <alignment horizontal="right"/>
    </xf>
    <xf numFmtId="0" fontId="16" fillId="0" borderId="14" xfId="12" applyFont="1" applyFill="1" applyBorder="1" applyAlignment="1">
      <alignment textRotation="90"/>
    </xf>
    <xf numFmtId="0" fontId="16" fillId="0" borderId="0" xfId="12" applyFont="1" applyFill="1" applyAlignment="1">
      <alignment horizontal="center" textRotation="90"/>
    </xf>
    <xf numFmtId="0" fontId="16" fillId="0" borderId="0" xfId="12" applyFont="1" applyFill="1" applyAlignment="1">
      <alignment textRotation="90"/>
    </xf>
    <xf numFmtId="0" fontId="16" fillId="0" borderId="14" xfId="8" applyFont="1" applyFill="1" applyBorder="1" applyAlignment="1">
      <alignment textRotation="90"/>
    </xf>
    <xf numFmtId="0" fontId="16" fillId="0" borderId="0" xfId="8" applyFont="1" applyFill="1" applyAlignment="1">
      <alignment horizontal="center" textRotation="90"/>
    </xf>
    <xf numFmtId="0" fontId="16" fillId="0" borderId="0" xfId="8" applyFont="1" applyFill="1" applyAlignment="1">
      <alignment textRotation="90"/>
    </xf>
    <xf numFmtId="0" fontId="16" fillId="0" borderId="0" xfId="9" applyFont="1" applyFill="1" applyBorder="1" applyAlignment="1">
      <alignment textRotation="90"/>
    </xf>
    <xf numFmtId="0" fontId="16" fillId="0" borderId="0" xfId="9" applyFont="1" applyFill="1" applyAlignment="1">
      <alignment textRotation="90"/>
    </xf>
  </cellXfs>
  <cellStyles count="27">
    <cellStyle name="Hyperlink" xfId="1" builtinId="8"/>
    <cellStyle name="Hyperlink 2" xfId="2"/>
    <cellStyle name="Hyperlink 2 2" xfId="3"/>
    <cellStyle name="Hyperlink 3" xfId="4"/>
    <cellStyle name="Hyperlink 3 2" xfId="5"/>
    <cellStyle name="Normal" xfId="0" builtinId="0"/>
    <cellStyle name="Normal 2" xfId="6"/>
    <cellStyle name="Normal 2 2" xfId="7"/>
    <cellStyle name="Normal 2 2 2" xfId="8"/>
    <cellStyle name="Normal 2 2 2 2" xfId="9"/>
    <cellStyle name="Normal 2 2 3" xfId="10"/>
    <cellStyle name="Normal 2 2 4" xfId="11"/>
    <cellStyle name="Normal 2 3" xfId="12"/>
    <cellStyle name="Normal 2 4" xfId="13"/>
    <cellStyle name="Normal 2 5" xfId="14"/>
    <cellStyle name="Normal 3" xfId="15"/>
    <cellStyle name="Normal 3 2" xfId="16"/>
    <cellStyle name="Normal 3 3" xfId="17"/>
    <cellStyle name="Normal 4" xfId="18"/>
    <cellStyle name="Normal 5" xfId="19"/>
    <cellStyle name="Normal 6" xfId="20"/>
    <cellStyle name="Normal 6 2" xfId="21"/>
    <cellStyle name="Normal 6 3" xfId="22"/>
    <cellStyle name="Normal 7" xfId="23"/>
    <cellStyle name="Normal 8" xfId="24"/>
    <cellStyle name="Normal 9" xfId="25"/>
    <cellStyle name="WinCalendar_BlankCells_35" xfId="26"/>
  </cellStyles>
  <dxfs count="15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ont>
        <color theme="9" tint="0.39994506668294322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theme="5" tint="0.39994506668294322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9" tint="0.39994506668294322"/>
      </font>
    </dxf>
    <dxf>
      <font>
        <color theme="9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CC0000"/>
      <color rgb="FFFFCCCC"/>
      <color rgb="FFFFFFCC"/>
      <color rgb="FFCC9900"/>
      <color rgb="FF99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952500</xdr:colOff>
      <xdr:row>16</xdr:row>
      <xdr:rowOff>47625</xdr:rowOff>
    </xdr:from>
    <xdr:to>
      <xdr:col>10</xdr:col>
      <xdr:colOff>1208468</xdr:colOff>
      <xdr:row>17</xdr:row>
      <xdr:rowOff>57151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686050"/>
          <a:ext cx="255968" cy="171451"/>
        </a:xfrm>
        <a:prstGeom prst="rect">
          <a:avLst/>
        </a:prstGeom>
      </xdr:spPr>
    </xdr:pic>
    <xdr:clientData/>
  </xdr:twoCellAnchor>
  <xdr:oneCellAnchor>
    <xdr:from>
      <xdr:col>10</xdr:col>
      <xdr:colOff>952500</xdr:colOff>
      <xdr:row>32</xdr:row>
      <xdr:rowOff>47625</xdr:rowOff>
    </xdr:from>
    <xdr:ext cx="255968" cy="171451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686050"/>
          <a:ext cx="255968" cy="171451"/>
        </a:xfrm>
        <a:prstGeom prst="rect">
          <a:avLst/>
        </a:prstGeom>
      </xdr:spPr>
    </xdr:pic>
    <xdr:clientData/>
  </xdr:oneCellAnchor>
  <xdr:oneCellAnchor>
    <xdr:from>
      <xdr:col>10</xdr:col>
      <xdr:colOff>952500</xdr:colOff>
      <xdr:row>47</xdr:row>
      <xdr:rowOff>47625</xdr:rowOff>
    </xdr:from>
    <xdr:ext cx="255968" cy="17145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5353050"/>
          <a:ext cx="255968" cy="171451"/>
        </a:xfrm>
        <a:prstGeom prst="rect">
          <a:avLst/>
        </a:prstGeom>
      </xdr:spPr>
    </xdr:pic>
    <xdr:clientData/>
  </xdr:oneCellAnchor>
  <xdr:oneCellAnchor>
    <xdr:from>
      <xdr:col>10</xdr:col>
      <xdr:colOff>952500</xdr:colOff>
      <xdr:row>50</xdr:row>
      <xdr:rowOff>47625</xdr:rowOff>
    </xdr:from>
    <xdr:ext cx="255968" cy="171451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7991475"/>
          <a:ext cx="255968" cy="171451"/>
        </a:xfrm>
        <a:prstGeom prst="rect">
          <a:avLst/>
        </a:prstGeom>
      </xdr:spPr>
    </xdr:pic>
    <xdr:clientData/>
  </xdr:oneCellAnchor>
  <xdr:oneCellAnchor>
    <xdr:from>
      <xdr:col>12</xdr:col>
      <xdr:colOff>952500</xdr:colOff>
      <xdr:row>53</xdr:row>
      <xdr:rowOff>47625</xdr:rowOff>
    </xdr:from>
    <xdr:ext cx="255968" cy="171451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7991475"/>
          <a:ext cx="255968" cy="171451"/>
        </a:xfrm>
        <a:prstGeom prst="rect">
          <a:avLst/>
        </a:prstGeom>
      </xdr:spPr>
    </xdr:pic>
    <xdr:clientData/>
  </xdr:oneCellAnchor>
  <xdr:oneCellAnchor>
    <xdr:from>
      <xdr:col>10</xdr:col>
      <xdr:colOff>952500</xdr:colOff>
      <xdr:row>65</xdr:row>
      <xdr:rowOff>47625</xdr:rowOff>
    </xdr:from>
    <xdr:ext cx="255968" cy="171451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7991475"/>
          <a:ext cx="255968" cy="1714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161925</xdr:colOff>
      <xdr:row>2</xdr:row>
      <xdr:rowOff>152400</xdr:rowOff>
    </xdr:to>
    <xdr:pic>
      <xdr:nvPicPr>
        <xdr:cNvPr id="8946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171450</xdr:colOff>
      <xdr:row>2</xdr:row>
      <xdr:rowOff>152400</xdr:rowOff>
    </xdr:to>
    <xdr:pic>
      <xdr:nvPicPr>
        <xdr:cNvPr id="550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101270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101287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288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101271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101283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284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285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286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101272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101280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281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282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101273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101278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279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101274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101275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276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277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104775</xdr:colOff>
      <xdr:row>2</xdr:row>
      <xdr:rowOff>152400</xdr:rowOff>
    </xdr:to>
    <xdr:pic>
      <xdr:nvPicPr>
        <xdr:cNvPr id="1471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52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2"/>
  <sheetViews>
    <sheetView showGridLines="0" showRowColHeaders="0" workbookViewId="0">
      <pane ySplit="3" topLeftCell="A4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12.5703125" style="2" customWidth="1"/>
    <col min="2" max="2" width="5.5703125" style="2" bestFit="1" customWidth="1"/>
    <col min="3" max="3" width="25.7109375" style="2" customWidth="1"/>
    <col min="4" max="4" width="5.7109375" style="2" customWidth="1"/>
    <col min="5" max="5" width="5.42578125" style="2" bestFit="1" customWidth="1"/>
    <col min="6" max="6" width="16.7109375" style="2" customWidth="1"/>
    <col min="7" max="7" width="15.85546875" style="2" customWidth="1"/>
    <col min="8" max="8" width="4.5703125" style="2" customWidth="1"/>
    <col min="9" max="9" width="5" style="2" bestFit="1" customWidth="1"/>
    <col min="10" max="16384" width="9.140625" style="2"/>
  </cols>
  <sheetData>
    <row r="1" spans="1:10" x14ac:dyDescent="0.2">
      <c r="A1" s="183" t="s">
        <v>90</v>
      </c>
      <c r="H1" s="1177" t="s">
        <v>569</v>
      </c>
    </row>
    <row r="3" spans="1:10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0" x14ac:dyDescent="0.2">
      <c r="A4" s="177" t="s">
        <v>93</v>
      </c>
      <c r="B4" s="311"/>
      <c r="H4" s="3"/>
    </row>
    <row r="5" spans="1:10" x14ac:dyDescent="0.2">
      <c r="A5" s="307" t="s">
        <v>116</v>
      </c>
      <c r="B5" s="821" t="s">
        <v>9</v>
      </c>
      <c r="C5" s="822" t="s">
        <v>10</v>
      </c>
      <c r="D5" s="822" t="s">
        <v>11</v>
      </c>
      <c r="E5" s="501" t="str">
        <f>HYPERLINK("#A!K1","A")</f>
        <v>A</v>
      </c>
      <c r="F5" s="198" t="str">
        <f>HYPERLINK("http://kaart.delfi.ee/?bookmark=521b80d6ceeefbe3e5d227267242b576","K-Järve spordihoone")</f>
        <v>K-Järve spordihoone</v>
      </c>
      <c r="G5" s="822" t="s">
        <v>12</v>
      </c>
      <c r="H5" s="831">
        <v>1</v>
      </c>
      <c r="I5" s="832">
        <f>COUNTA(A!B114:B129)</f>
        <v>16</v>
      </c>
    </row>
    <row r="6" spans="1:10" x14ac:dyDescent="0.2">
      <c r="A6" s="313" t="s">
        <v>199</v>
      </c>
      <c r="B6" s="823" t="s">
        <v>13</v>
      </c>
      <c r="C6" s="824" t="s">
        <v>575</v>
      </c>
      <c r="D6" s="824" t="s">
        <v>14</v>
      </c>
      <c r="E6" s="555" t="str">
        <f>HYPERLINK("#V1!G1","V1")</f>
        <v>V1</v>
      </c>
      <c r="F6" s="322" t="str">
        <f>HYPERLINK("http://kaart.delfi.ee/?bookmark=63ebb20d0f5732aa12acf360e2b986df","Voka staadion")</f>
        <v>Voka staadion</v>
      </c>
      <c r="G6" s="313" t="s">
        <v>15</v>
      </c>
      <c r="H6" s="308">
        <v>2</v>
      </c>
      <c r="I6" s="309">
        <f>V!D48</f>
        <v>14</v>
      </c>
    </row>
    <row r="7" spans="1:10" x14ac:dyDescent="0.2">
      <c r="A7" s="188" t="s">
        <v>193</v>
      </c>
      <c r="B7" s="189" t="s">
        <v>13</v>
      </c>
      <c r="C7" s="188" t="s">
        <v>217</v>
      </c>
      <c r="D7" s="188" t="s">
        <v>16</v>
      </c>
      <c r="E7" s="501" t="str">
        <f>HYPERLINK("#1!G1","1")</f>
        <v>1</v>
      </c>
      <c r="F7" s="200" t="str">
        <f>HYPERLINK("http://kaart.delfi.ee/?bookmark=521b80d6ceeefbe3e5d227267242b576","K-Järve spordihoone")</f>
        <v>K-Järve spordihoone</v>
      </c>
      <c r="G7" s="190" t="s">
        <v>12</v>
      </c>
      <c r="H7" s="191">
        <v>2</v>
      </c>
      <c r="I7" s="192">
        <f>Reit!J58</f>
        <v>25</v>
      </c>
    </row>
    <row r="8" spans="1:10" s="42" customFormat="1" x14ac:dyDescent="0.2">
      <c r="A8" s="825" t="s">
        <v>166</v>
      </c>
      <c r="B8" s="189" t="s">
        <v>9</v>
      </c>
      <c r="C8" s="188" t="s">
        <v>218</v>
      </c>
      <c r="D8" s="188" t="s">
        <v>14</v>
      </c>
      <c r="E8" s="501" t="str">
        <f>HYPERLINK("#2!I1","2")</f>
        <v>2</v>
      </c>
      <c r="F8" s="200" t="str">
        <f>HYPERLINK("http://kaart.delfi.ee/?bookmark=521b80d6ceeefbe3e5d227267242b576","K-Järve spordihoone")</f>
        <v>K-Järve spordihoone</v>
      </c>
      <c r="G8" s="190" t="s">
        <v>12</v>
      </c>
      <c r="H8" s="191">
        <v>2</v>
      </c>
      <c r="I8" s="192">
        <f>Reit!K58</f>
        <v>22</v>
      </c>
    </row>
    <row r="9" spans="1:10" s="42" customFormat="1" hidden="1" x14ac:dyDescent="0.2">
      <c r="A9" s="826" t="s">
        <v>166</v>
      </c>
      <c r="B9" s="827"/>
      <c r="C9" s="828" t="s">
        <v>290</v>
      </c>
      <c r="D9" s="828" t="s">
        <v>16</v>
      </c>
      <c r="E9" s="423"/>
      <c r="F9" s="833" t="s">
        <v>291</v>
      </c>
      <c r="G9" s="834" t="s">
        <v>295</v>
      </c>
      <c r="H9" s="835"/>
      <c r="I9" s="835"/>
    </row>
    <row r="10" spans="1:10" x14ac:dyDescent="0.2">
      <c r="A10" s="185" t="s">
        <v>108</v>
      </c>
      <c r="B10" s="193" t="s">
        <v>13</v>
      </c>
      <c r="C10" s="185" t="s">
        <v>223</v>
      </c>
      <c r="D10" s="185" t="s">
        <v>14</v>
      </c>
      <c r="E10" s="502" t="str">
        <f>HYPERLINK("#M1!I1","M1")</f>
        <v>M1</v>
      </c>
      <c r="F10" s="199" t="str">
        <f>HYPERLINK("http://kaart.delfi.ee/?bookmark=96e8ef31375c7e6041cd302dca543f69","Mäetaguse staadion")</f>
        <v>Mäetaguse staadion</v>
      </c>
      <c r="G10" s="185" t="s">
        <v>17</v>
      </c>
      <c r="H10" s="21">
        <v>2</v>
      </c>
      <c r="I10" s="194">
        <f>M!M29</f>
        <v>12</v>
      </c>
      <c r="J10" s="42"/>
    </row>
    <row r="11" spans="1:10" x14ac:dyDescent="0.2">
      <c r="A11" s="313" t="s">
        <v>231</v>
      </c>
      <c r="B11" s="823" t="s">
        <v>13</v>
      </c>
      <c r="C11" s="824" t="s">
        <v>576</v>
      </c>
      <c r="D11" s="824" t="s">
        <v>14</v>
      </c>
      <c r="E11" s="555" t="str">
        <f>HYPERLINK("#V2!G1","V2")</f>
        <v>V2</v>
      </c>
      <c r="F11" s="322" t="str">
        <f>HYPERLINK("http://kaart.delfi.ee/?bookmark=63ebb20d0f5732aa12acf360e2b986df","Voka staadion")</f>
        <v>Voka staadion</v>
      </c>
      <c r="G11" s="313" t="s">
        <v>15</v>
      </c>
      <c r="H11" s="308">
        <v>2</v>
      </c>
      <c r="I11" s="309">
        <f>V!E48</f>
        <v>14</v>
      </c>
      <c r="J11" s="42"/>
    </row>
    <row r="12" spans="1:10" x14ac:dyDescent="0.2">
      <c r="A12" s="188" t="s">
        <v>194</v>
      </c>
      <c r="B12" s="189" t="s">
        <v>13</v>
      </c>
      <c r="C12" s="188" t="s">
        <v>219</v>
      </c>
      <c r="D12" s="188" t="s">
        <v>11</v>
      </c>
      <c r="E12" s="501" t="str">
        <f>HYPERLINK("#3!J1","3")</f>
        <v>3</v>
      </c>
      <c r="F12" s="200" t="str">
        <f>HYPERLINK("http://kaart.delfi.ee/?bookmark=521b80d6ceeefbe3e5d227267242b576","K-Järve spordihoone")</f>
        <v>K-Järve spordihoone</v>
      </c>
      <c r="G12" s="190" t="s">
        <v>12</v>
      </c>
      <c r="H12" s="191">
        <v>2</v>
      </c>
      <c r="I12" s="192">
        <f>Reit!L58</f>
        <v>25</v>
      </c>
      <c r="J12" s="42"/>
    </row>
    <row r="13" spans="1:10" x14ac:dyDescent="0.2">
      <c r="A13" s="177" t="s">
        <v>94</v>
      </c>
      <c r="B13" s="311"/>
      <c r="E13" s="329"/>
      <c r="H13" s="3"/>
      <c r="I13" s="37"/>
      <c r="J13" s="42"/>
    </row>
    <row r="14" spans="1:10" x14ac:dyDescent="0.2">
      <c r="A14" s="313" t="s">
        <v>201</v>
      </c>
      <c r="B14" s="823" t="s">
        <v>13</v>
      </c>
      <c r="C14" s="824" t="s">
        <v>577</v>
      </c>
      <c r="D14" s="824" t="s">
        <v>14</v>
      </c>
      <c r="E14" s="555" t="str">
        <f>HYPERLINK("#V3!G1","V3")</f>
        <v>V3</v>
      </c>
      <c r="F14" s="322" t="str">
        <f>HYPERLINK("http://kaart.delfi.ee/?bookmark=63ebb20d0f5732aa12acf360e2b986df","Voka staadion")</f>
        <v>Voka staadion</v>
      </c>
      <c r="G14" s="313" t="s">
        <v>15</v>
      </c>
      <c r="H14" s="308">
        <v>2</v>
      </c>
      <c r="I14" s="309">
        <f>V!F48</f>
        <v>16</v>
      </c>
      <c r="J14" s="42"/>
    </row>
    <row r="15" spans="1:10" s="42" customFormat="1" x14ac:dyDescent="0.2">
      <c r="A15" s="188" t="s">
        <v>202</v>
      </c>
      <c r="B15" s="189" t="s">
        <v>13</v>
      </c>
      <c r="C15" s="188" t="s">
        <v>190</v>
      </c>
      <c r="D15" s="188" t="s">
        <v>16</v>
      </c>
      <c r="E15" s="327" t="str">
        <f>HYPERLINK("#4!J1","4")</f>
        <v>4</v>
      </c>
      <c r="F15" s="310" t="s">
        <v>447</v>
      </c>
      <c r="G15" s="188"/>
      <c r="H15" s="191">
        <v>2</v>
      </c>
      <c r="I15" s="192">
        <f>Reit!M58</f>
        <v>27</v>
      </c>
    </row>
    <row r="16" spans="1:10" s="42" customFormat="1" x14ac:dyDescent="0.2">
      <c r="A16" s="829" t="s">
        <v>196</v>
      </c>
      <c r="B16" s="830" t="s">
        <v>18</v>
      </c>
      <c r="C16" s="829" t="s">
        <v>636</v>
      </c>
      <c r="D16" s="829" t="s">
        <v>11</v>
      </c>
      <c r="E16" s="330" t="str">
        <f>HYPERLINK("#Mu!J1","Mu")</f>
        <v>Mu</v>
      </c>
      <c r="F16" s="836" t="str">
        <f>HYPERLINK("http://kaart.delfi.ee/?bookmark=63ebb20d0f5732aa12acf360e2b986df","Voka staadion")</f>
        <v>Voka staadion</v>
      </c>
      <c r="G16" s="829" t="s">
        <v>191</v>
      </c>
      <c r="H16" s="837">
        <v>2</v>
      </c>
      <c r="I16" s="838">
        <f>COUNTA(Mu!B202:B221)</f>
        <v>15</v>
      </c>
    </row>
    <row r="17" spans="1:10" x14ac:dyDescent="0.2">
      <c r="A17" s="185" t="s">
        <v>109</v>
      </c>
      <c r="B17" s="193" t="s">
        <v>13</v>
      </c>
      <c r="C17" s="185" t="s">
        <v>224</v>
      </c>
      <c r="D17" s="185" t="s">
        <v>16</v>
      </c>
      <c r="E17" s="328" t="str">
        <f>HYPERLINK("#M2!I1","M2")</f>
        <v>M2</v>
      </c>
      <c r="F17" s="199" t="str">
        <f>HYPERLINK("http://kaart.delfi.ee/?bookmark=96e8ef31375c7e6041cd302dca543f69","Mäetaguse staadion")</f>
        <v>Mäetaguse staadion</v>
      </c>
      <c r="G17" s="185" t="s">
        <v>17</v>
      </c>
      <c r="H17" s="21">
        <v>2</v>
      </c>
      <c r="I17" s="194">
        <f>M!N29</f>
        <v>15</v>
      </c>
      <c r="J17" s="42"/>
    </row>
    <row r="18" spans="1:10" s="42" customFormat="1" x14ac:dyDescent="0.2">
      <c r="A18" s="313" t="s">
        <v>407</v>
      </c>
      <c r="B18" s="823" t="s">
        <v>13</v>
      </c>
      <c r="C18" s="824" t="s">
        <v>578</v>
      </c>
      <c r="D18" s="824" t="s">
        <v>14</v>
      </c>
      <c r="E18" s="555" t="str">
        <f>HYPERLINK("#V4!G1","V4")</f>
        <v>V4</v>
      </c>
      <c r="F18" s="839" t="s">
        <v>200</v>
      </c>
      <c r="G18" s="313" t="s">
        <v>15</v>
      </c>
      <c r="H18" s="308">
        <v>2</v>
      </c>
      <c r="I18" s="309">
        <f>V!G48</f>
        <v>16</v>
      </c>
    </row>
    <row r="19" spans="1:10" s="42" customFormat="1" x14ac:dyDescent="0.2">
      <c r="A19" s="188" t="s">
        <v>203</v>
      </c>
      <c r="B19" s="189" t="s">
        <v>13</v>
      </c>
      <c r="C19" s="188" t="s">
        <v>190</v>
      </c>
      <c r="D19" s="188" t="s">
        <v>11</v>
      </c>
      <c r="E19" s="327" t="str">
        <f>HYPERLINK("#5!J1","5")</f>
        <v>5</v>
      </c>
      <c r="F19" s="310" t="s">
        <v>447</v>
      </c>
      <c r="G19" s="188"/>
      <c r="H19" s="191">
        <v>2</v>
      </c>
      <c r="I19" s="192">
        <f>Reit!N58</f>
        <v>25</v>
      </c>
    </row>
    <row r="20" spans="1:10" x14ac:dyDescent="0.2">
      <c r="A20" s="177" t="s">
        <v>95</v>
      </c>
      <c r="B20" s="311"/>
      <c r="C20" s="184"/>
      <c r="D20" s="184"/>
      <c r="E20" s="331"/>
      <c r="F20" s="184"/>
      <c r="G20" s="184"/>
      <c r="H20" s="4"/>
      <c r="I20" s="37"/>
      <c r="J20" s="42"/>
    </row>
    <row r="21" spans="1:10" x14ac:dyDescent="0.2">
      <c r="A21" s="185" t="s">
        <v>110</v>
      </c>
      <c r="B21" s="193" t="s">
        <v>13</v>
      </c>
      <c r="C21" s="185" t="s">
        <v>225</v>
      </c>
      <c r="D21" s="185" t="s">
        <v>14</v>
      </c>
      <c r="E21" s="328" t="str">
        <f>HYPERLINK("#M3!I1","M3")</f>
        <v>M3</v>
      </c>
      <c r="F21" s="199" t="str">
        <f>HYPERLINK("http://kaart.delfi.ee/?bookmark=96e8ef31375c7e6041cd302dca543f69","Mäetaguse staadion")</f>
        <v>Mäetaguse staadion</v>
      </c>
      <c r="G21" s="185" t="s">
        <v>17</v>
      </c>
      <c r="H21" s="21">
        <v>2</v>
      </c>
      <c r="I21" s="194">
        <f>M!O29</f>
        <v>17</v>
      </c>
      <c r="J21" s="42"/>
    </row>
    <row r="22" spans="1:10" s="42" customFormat="1" x14ac:dyDescent="0.2">
      <c r="A22" s="313" t="s">
        <v>205</v>
      </c>
      <c r="B22" s="823" t="s">
        <v>13</v>
      </c>
      <c r="C22" s="824" t="s">
        <v>579</v>
      </c>
      <c r="D22" s="824" t="s">
        <v>14</v>
      </c>
      <c r="E22" s="555" t="str">
        <f>HYPERLINK("#V5!G1","V5")</f>
        <v>V5</v>
      </c>
      <c r="F22" s="322" t="str">
        <f>HYPERLINK("http://kaart.delfi.ee/?bookmark=63ebb20d0f5732aa12acf360e2b986df","Voka staadion")</f>
        <v>Voka staadion</v>
      </c>
      <c r="G22" s="313" t="s">
        <v>15</v>
      </c>
      <c r="H22" s="308">
        <v>2</v>
      </c>
      <c r="I22" s="309">
        <f>V!H48</f>
        <v>22</v>
      </c>
    </row>
    <row r="23" spans="1:10" s="42" customFormat="1" x14ac:dyDescent="0.2">
      <c r="A23" s="188" t="s">
        <v>139</v>
      </c>
      <c r="B23" s="189" t="s">
        <v>13</v>
      </c>
      <c r="C23" s="188" t="s">
        <v>140</v>
      </c>
      <c r="D23" s="188" t="s">
        <v>14</v>
      </c>
      <c r="E23" s="327" t="str">
        <f>HYPERLINK("#6!J1","6")</f>
        <v>6</v>
      </c>
      <c r="F23" s="840" t="str">
        <f>HYPERLINK("http://kaart.delfi.ee/?bookmark=4c0b1b0c24ff9f4919899a9546bf50f1","Jõhvi, Neptun")</f>
        <v>Jõhvi, Neptun</v>
      </c>
      <c r="G23" s="190" t="s">
        <v>141</v>
      </c>
      <c r="H23" s="191">
        <v>2</v>
      </c>
      <c r="I23" s="192">
        <f>Reit!O58</f>
        <v>19</v>
      </c>
    </row>
    <row r="24" spans="1:10" s="42" customFormat="1" x14ac:dyDescent="0.2">
      <c r="A24" s="313" t="s">
        <v>206</v>
      </c>
      <c r="B24" s="823" t="s">
        <v>13</v>
      </c>
      <c r="C24" s="824" t="s">
        <v>580</v>
      </c>
      <c r="D24" s="824" t="s">
        <v>14</v>
      </c>
      <c r="E24" s="555" t="str">
        <f>HYPERLINK("#V6!G1","V6")</f>
        <v>V6</v>
      </c>
      <c r="F24" s="322" t="str">
        <f>HYPERLINK("http://kaart.delfi.ee/?bookmark=63ebb20d0f5732aa12acf360e2b986df","Voka staadion")</f>
        <v>Voka staadion</v>
      </c>
      <c r="G24" s="313" t="s">
        <v>15</v>
      </c>
      <c r="H24" s="308">
        <v>2</v>
      </c>
      <c r="I24" s="309">
        <f>V!I48</f>
        <v>16</v>
      </c>
    </row>
    <row r="25" spans="1:10" s="42" customFormat="1" x14ac:dyDescent="0.2">
      <c r="A25" s="188" t="s">
        <v>142</v>
      </c>
      <c r="B25" s="189" t="s">
        <v>13</v>
      </c>
      <c r="C25" s="188" t="s">
        <v>144</v>
      </c>
      <c r="D25" s="188" t="s">
        <v>16</v>
      </c>
      <c r="E25" s="327" t="str">
        <f>HYPERLINK("#7!J1","7")</f>
        <v>7</v>
      </c>
      <c r="F25" s="840" t="str">
        <f>HYPERLINK("http://kaart.delfi.ee/?bookmark=4c0b1b0c24ff9f4919899a9546bf50f1","Jõhvi, Neptun")</f>
        <v>Jõhvi, Neptun</v>
      </c>
      <c r="G25" s="190" t="s">
        <v>141</v>
      </c>
      <c r="H25" s="191">
        <v>2</v>
      </c>
      <c r="I25" s="192">
        <f>Reit!P58</f>
        <v>27</v>
      </c>
    </row>
    <row r="26" spans="1:10" s="42" customFormat="1" x14ac:dyDescent="0.2">
      <c r="A26" s="188" t="s">
        <v>143</v>
      </c>
      <c r="B26" s="189" t="s">
        <v>9</v>
      </c>
      <c r="C26" s="188" t="s">
        <v>140</v>
      </c>
      <c r="D26" s="188" t="s">
        <v>11</v>
      </c>
      <c r="E26" s="327" t="str">
        <f>HYPERLINK("#8!J1","8")</f>
        <v>8</v>
      </c>
      <c r="F26" s="840" t="str">
        <f>HYPERLINK("http://kaart.delfi.ee/?bookmark=4c0b1b0c24ff9f4919899a9546bf50f1","Jõhvi, Neptun")</f>
        <v>Jõhvi, Neptun</v>
      </c>
      <c r="G26" s="190" t="s">
        <v>141</v>
      </c>
      <c r="H26" s="191">
        <v>2</v>
      </c>
      <c r="I26" s="192">
        <f>Reit!Q58</f>
        <v>19</v>
      </c>
    </row>
    <row r="27" spans="1:10" x14ac:dyDescent="0.2">
      <c r="A27" s="177" t="s">
        <v>96</v>
      </c>
      <c r="B27" s="311"/>
      <c r="E27" s="329"/>
      <c r="H27" s="3"/>
      <c r="I27" s="37"/>
      <c r="J27" s="42"/>
    </row>
    <row r="28" spans="1:10" x14ac:dyDescent="0.2">
      <c r="A28" s="313" t="s">
        <v>204</v>
      </c>
      <c r="B28" s="1085" t="s">
        <v>13</v>
      </c>
      <c r="C28" s="1086" t="s">
        <v>581</v>
      </c>
      <c r="D28" s="1086" t="s">
        <v>14</v>
      </c>
      <c r="E28" s="555" t="str">
        <f>HYPERLINK("#V7!G1","V7")</f>
        <v>V7</v>
      </c>
      <c r="F28" s="322" t="str">
        <f>HYPERLINK("http://kaart.delfi.ee/?bookmark=63ebb20d0f5732aa12acf360e2b986df","Voka staadion")</f>
        <v>Voka staadion</v>
      </c>
      <c r="G28" s="313" t="s">
        <v>15</v>
      </c>
      <c r="H28" s="308">
        <v>2</v>
      </c>
      <c r="I28" s="309">
        <f>V!J48</f>
        <v>20</v>
      </c>
      <c r="J28" s="42"/>
    </row>
    <row r="29" spans="1:10" x14ac:dyDescent="0.2">
      <c r="A29" s="188" t="s">
        <v>208</v>
      </c>
      <c r="B29" s="189" t="s">
        <v>13</v>
      </c>
      <c r="C29" s="188" t="s">
        <v>207</v>
      </c>
      <c r="D29" s="188" t="s">
        <v>16</v>
      </c>
      <c r="E29" s="327" t="str">
        <f>HYPERLINK("#9!J1","9")</f>
        <v>9</v>
      </c>
      <c r="F29" s="200" t="str">
        <f>HYPERLINK("http://kaart.delfi.ee/?bookmark=521b80d6ceeefbe3e5d227267242b576","K-Järve spordihoone")</f>
        <v>K-Järve spordihoone</v>
      </c>
      <c r="G29" s="190" t="s">
        <v>12</v>
      </c>
      <c r="H29" s="191">
        <v>2</v>
      </c>
      <c r="I29" s="192">
        <f>Reit!R58</f>
        <v>28</v>
      </c>
      <c r="J29" s="42"/>
    </row>
    <row r="30" spans="1:10" x14ac:dyDescent="0.2">
      <c r="A30" s="1195" t="s">
        <v>132</v>
      </c>
      <c r="B30" s="1196" t="s">
        <v>477</v>
      </c>
      <c r="C30" s="1195" t="s">
        <v>220</v>
      </c>
      <c r="D30" s="1195" t="s">
        <v>16</v>
      </c>
      <c r="E30" s="1212" t="str">
        <f>HYPERLINK("http://www.petanque.ee/index.php?id=103738&amp;cid=443","e15")</f>
        <v>e15</v>
      </c>
      <c r="F30" s="1197" t="str">
        <f>HYPERLINK("http://kaart.delfi.ee/?bookmark=521b80d6ceeefbe3e5d227267242b576","K-Järve spordihoone")</f>
        <v>K-Järve spordihoone</v>
      </c>
      <c r="G30" s="1198" t="s">
        <v>12</v>
      </c>
      <c r="H30" s="1199">
        <v>10</v>
      </c>
      <c r="I30" s="1200">
        <v>30</v>
      </c>
      <c r="J30" s="42"/>
    </row>
    <row r="31" spans="1:10" x14ac:dyDescent="0.2">
      <c r="A31" s="1195" t="s">
        <v>133</v>
      </c>
      <c r="B31" s="1196" t="s">
        <v>18</v>
      </c>
      <c r="C31" s="1236" t="s">
        <v>639</v>
      </c>
      <c r="D31" s="1195" t="s">
        <v>14</v>
      </c>
      <c r="E31" s="1212" t="str">
        <f>HYPERLINK("http://www.petanque.ee/index.php?id=103738&amp;cid=444","e16")</f>
        <v>e16</v>
      </c>
      <c r="F31" s="1197" t="str">
        <f>HYPERLINK("http://kaart.delfi.ee/?bookmark=521b80d6ceeefbe3e5d227267242b576","K-Järve spordihoone")</f>
        <v>K-Järve spordihoone</v>
      </c>
      <c r="G31" s="1198" t="s">
        <v>12</v>
      </c>
      <c r="H31" s="1199">
        <v>8</v>
      </c>
      <c r="I31" s="1200">
        <v>32</v>
      </c>
      <c r="J31" s="42"/>
    </row>
    <row r="32" spans="1:10" s="42" customFormat="1" x14ac:dyDescent="0.2">
      <c r="A32" s="313" t="s">
        <v>209</v>
      </c>
      <c r="B32" s="1085" t="s">
        <v>13</v>
      </c>
      <c r="C32" s="1086" t="s">
        <v>582</v>
      </c>
      <c r="D32" s="1086" t="s">
        <v>14</v>
      </c>
      <c r="E32" s="555" t="str">
        <f>HYPERLINK("#V8!G1","V8")</f>
        <v>V8</v>
      </c>
      <c r="F32" s="322" t="str">
        <f>HYPERLINK("http://kaart.delfi.ee/?bookmark=63ebb20d0f5732aa12acf360e2b986df","Voka staadion")</f>
        <v>Voka staadion</v>
      </c>
      <c r="G32" s="313" t="s">
        <v>15</v>
      </c>
      <c r="H32" s="308">
        <v>2</v>
      </c>
      <c r="I32" s="309">
        <f>V!K48</f>
        <v>12</v>
      </c>
    </row>
    <row r="33" spans="1:10" x14ac:dyDescent="0.2">
      <c r="A33" s="185" t="s">
        <v>111</v>
      </c>
      <c r="B33" s="193" t="s">
        <v>13</v>
      </c>
      <c r="C33" s="185" t="s">
        <v>226</v>
      </c>
      <c r="D33" s="185" t="s">
        <v>16</v>
      </c>
      <c r="E33" s="328" t="str">
        <f>HYPERLINK("#M4!I1","M4")</f>
        <v>M4</v>
      </c>
      <c r="F33" s="199" t="str">
        <f>HYPERLINK("http://kaart.delfi.ee/?bookmark=96e8ef31375c7e6041cd302dca543f69","Mäetaguse staadion")</f>
        <v>Mäetaguse staadion</v>
      </c>
      <c r="G33" s="185" t="s">
        <v>17</v>
      </c>
      <c r="H33" s="21">
        <v>2</v>
      </c>
      <c r="I33" s="194">
        <f>M!P29</f>
        <v>16</v>
      </c>
      <c r="J33" s="42"/>
    </row>
    <row r="34" spans="1:10" x14ac:dyDescent="0.2">
      <c r="A34" s="1087" t="s">
        <v>211</v>
      </c>
      <c r="B34" s="1088" t="s">
        <v>13</v>
      </c>
      <c r="C34" s="188" t="s">
        <v>210</v>
      </c>
      <c r="D34" s="1087" t="s">
        <v>14</v>
      </c>
      <c r="E34" s="327" t="str">
        <f>HYPERLINK("#10!J1","10")</f>
        <v>10</v>
      </c>
      <c r="F34" s="200" t="str">
        <f>HYPERLINK("http://kaart.delfi.ee/?bookmark=521b80d6ceeefbe3e5d227267242b576","K-Järve spordihoone")</f>
        <v>K-Järve spordihoone</v>
      </c>
      <c r="G34" s="190" t="s">
        <v>12</v>
      </c>
      <c r="H34" s="191">
        <v>2</v>
      </c>
      <c r="I34" s="192">
        <f>Reit!S58</f>
        <v>18</v>
      </c>
      <c r="J34" s="42"/>
    </row>
    <row r="35" spans="1:10" x14ac:dyDescent="0.2">
      <c r="A35" s="177" t="s">
        <v>97</v>
      </c>
      <c r="B35" s="311"/>
      <c r="E35" s="329"/>
      <c r="H35" s="3"/>
      <c r="I35" s="37"/>
      <c r="J35" s="42"/>
    </row>
    <row r="36" spans="1:10" x14ac:dyDescent="0.2">
      <c r="A36" s="313" t="s">
        <v>212</v>
      </c>
      <c r="B36" s="1090" t="s">
        <v>13</v>
      </c>
      <c r="C36" s="1091" t="s">
        <v>583</v>
      </c>
      <c r="D36" s="1091" t="s">
        <v>14</v>
      </c>
      <c r="E36" s="555" t="str">
        <f>HYPERLINK("#V9!G1","V9")</f>
        <v>V9</v>
      </c>
      <c r="F36" s="322" t="str">
        <f>HYPERLINK("http://kaart.delfi.ee/?bookmark=63ebb20d0f5732aa12acf360e2b986df","Voka staadion")</f>
        <v>Voka staadion</v>
      </c>
      <c r="G36" s="313" t="s">
        <v>15</v>
      </c>
      <c r="H36" s="308">
        <v>2</v>
      </c>
      <c r="I36" s="309">
        <f>V!L48</f>
        <v>18</v>
      </c>
      <c r="J36" s="42"/>
    </row>
    <row r="37" spans="1:10" x14ac:dyDescent="0.2">
      <c r="A37" s="188" t="s">
        <v>214</v>
      </c>
      <c r="B37" s="189" t="s">
        <v>9</v>
      </c>
      <c r="C37" s="188" t="s">
        <v>190</v>
      </c>
      <c r="D37" s="188" t="s">
        <v>14</v>
      </c>
      <c r="E37" s="327" t="str">
        <f>HYPERLINK("#11!J1","11")</f>
        <v>11</v>
      </c>
      <c r="F37" s="310" t="s">
        <v>447</v>
      </c>
      <c r="G37" s="188"/>
      <c r="H37" s="191">
        <v>2</v>
      </c>
      <c r="I37" s="192">
        <f>Reit!T58</f>
        <v>24</v>
      </c>
      <c r="J37" s="42"/>
    </row>
    <row r="38" spans="1:10" x14ac:dyDescent="0.2">
      <c r="A38" s="188" t="s">
        <v>216</v>
      </c>
      <c r="B38" s="189" t="s">
        <v>9</v>
      </c>
      <c r="C38" s="188" t="s">
        <v>215</v>
      </c>
      <c r="D38" s="188" t="s">
        <v>565</v>
      </c>
      <c r="E38" s="327" t="str">
        <f>HYPERLINK("#12!J1","12")</f>
        <v>12</v>
      </c>
      <c r="F38" s="200" t="str">
        <f>HYPERLINK("http://kaart.delfi.ee/?bookmark=521b80d6ceeefbe3e5d227267242b576","K-Järve spordihoone")</f>
        <v>K-Järve spordihoone</v>
      </c>
      <c r="G38" s="190" t="s">
        <v>12</v>
      </c>
      <c r="H38" s="191">
        <v>2</v>
      </c>
      <c r="I38" s="192">
        <f>Reit!U58</f>
        <v>14</v>
      </c>
      <c r="J38" s="42"/>
    </row>
    <row r="39" spans="1:10" x14ac:dyDescent="0.2">
      <c r="A39" s="313" t="s">
        <v>213</v>
      </c>
      <c r="B39" s="1090" t="s">
        <v>13</v>
      </c>
      <c r="C39" s="1091" t="s">
        <v>584</v>
      </c>
      <c r="D39" s="1091" t="s">
        <v>14</v>
      </c>
      <c r="E39" s="555" t="str">
        <f>HYPERLINK("#V10!G1","V10")</f>
        <v>V10</v>
      </c>
      <c r="F39" s="322" t="str">
        <f>HYPERLINK("http://kaart.delfi.ee/?bookmark=63ebb20d0f5732aa12acf360e2b986df","Voka staadion")</f>
        <v>Voka staadion</v>
      </c>
      <c r="G39" s="313" t="s">
        <v>15</v>
      </c>
      <c r="H39" s="308">
        <v>2</v>
      </c>
      <c r="I39" s="309">
        <f>V!M48</f>
        <v>14</v>
      </c>
      <c r="J39" s="42"/>
    </row>
    <row r="40" spans="1:10" x14ac:dyDescent="0.2">
      <c r="A40" s="1087" t="s">
        <v>570</v>
      </c>
      <c r="B40" s="1088" t="s">
        <v>9</v>
      </c>
      <c r="C40" s="188" t="s">
        <v>210</v>
      </c>
      <c r="D40" s="1087" t="s">
        <v>11</v>
      </c>
      <c r="E40" s="327" t="str">
        <f>HYPERLINK("#13!J1","13")</f>
        <v>13</v>
      </c>
      <c r="F40" s="200" t="str">
        <f>HYPERLINK("http://kaart.delfi.ee/?bookmark=521b80d6ceeefbe3e5d227267242b576","K-Järve spordihoone")</f>
        <v>K-Järve spordihoone</v>
      </c>
      <c r="G40" s="190" t="s">
        <v>12</v>
      </c>
      <c r="H40" s="191">
        <v>2</v>
      </c>
      <c r="I40" s="192">
        <f>Reit!V58</f>
        <v>18</v>
      </c>
      <c r="J40" s="42"/>
    </row>
    <row r="41" spans="1:10" x14ac:dyDescent="0.2">
      <c r="A41" s="177" t="s">
        <v>98</v>
      </c>
      <c r="B41" s="311"/>
      <c r="E41" s="329"/>
      <c r="H41" s="3"/>
      <c r="I41" s="37"/>
      <c r="J41" s="42"/>
    </row>
    <row r="42" spans="1:10" x14ac:dyDescent="0.2">
      <c r="A42" s="185" t="s">
        <v>112</v>
      </c>
      <c r="B42" s="193" t="s">
        <v>18</v>
      </c>
      <c r="C42" s="185" t="s">
        <v>227</v>
      </c>
      <c r="D42" s="185" t="s">
        <v>11</v>
      </c>
      <c r="E42" s="328" t="str">
        <f>HYPERLINK("#M5!I1","M5")</f>
        <v>M5</v>
      </c>
      <c r="F42" s="199" t="str">
        <f>HYPERLINK("http://kaart.delfi.ee//?bookmark=acddabeb468494ed678558e12ae742c7","Mäetaguse parkla")</f>
        <v>Mäetaguse parkla</v>
      </c>
      <c r="G42" s="185" t="s">
        <v>17</v>
      </c>
      <c r="H42" s="21">
        <v>2</v>
      </c>
      <c r="I42" s="194">
        <f>M!Q29</f>
        <v>13</v>
      </c>
      <c r="J42" s="42"/>
    </row>
    <row r="43" spans="1:10" x14ac:dyDescent="0.2">
      <c r="A43" s="1380" t="s">
        <v>221</v>
      </c>
      <c r="B43" s="1382" t="s">
        <v>18</v>
      </c>
      <c r="C43" s="313" t="s">
        <v>585</v>
      </c>
      <c r="D43" s="1091" t="s">
        <v>11</v>
      </c>
      <c r="E43" s="555" t="str">
        <f>HYPERLINK("#'V-Fin'!K1","V-Fin")</f>
        <v>V-Fin</v>
      </c>
      <c r="F43" s="1384" t="str">
        <f>HYPERLINK("http://kaart.delfi.ee/?bookmark=63ebb20d0f5732aa12acf360e2b986df","Voka staadion")</f>
        <v>Voka staadion</v>
      </c>
      <c r="G43" s="1380" t="s">
        <v>15</v>
      </c>
      <c r="H43" s="308">
        <v>0</v>
      </c>
      <c r="I43" s="309">
        <f>V!O48</f>
        <v>18</v>
      </c>
      <c r="J43" s="42"/>
    </row>
    <row r="44" spans="1:10" x14ac:dyDescent="0.2">
      <c r="A44" s="1381"/>
      <c r="B44" s="1383"/>
      <c r="C44" s="313" t="s">
        <v>590</v>
      </c>
      <c r="D44" s="1091" t="s">
        <v>11</v>
      </c>
      <c r="E44" s="555" t="str">
        <f>HYPERLINK("#'V-Pl'!Z1","V-Pl")</f>
        <v>V-Pl</v>
      </c>
      <c r="F44" s="1385"/>
      <c r="G44" s="1381"/>
      <c r="H44" s="308">
        <v>2</v>
      </c>
      <c r="I44" s="309">
        <f>'V-Pl'!A26</f>
        <v>18</v>
      </c>
      <c r="J44" s="42"/>
    </row>
    <row r="45" spans="1:10" x14ac:dyDescent="0.2">
      <c r="A45" s="307" t="s">
        <v>198</v>
      </c>
      <c r="B45" s="627" t="s">
        <v>232</v>
      </c>
      <c r="C45" s="186" t="s">
        <v>19</v>
      </c>
      <c r="D45" s="186" t="s">
        <v>11</v>
      </c>
      <c r="E45" s="326" t="str">
        <f>HYPERLINK("#L!W1","L")</f>
        <v>L</v>
      </c>
      <c r="F45" s="198" t="str">
        <f>HYPERLINK("http://kaart.delfi.ee/?bookmark=521b80d6ceeefbe3e5d227267242b576","K-Järve spordihoone")</f>
        <v>K-Järve spordihoone</v>
      </c>
      <c r="G45" s="186" t="s">
        <v>12</v>
      </c>
      <c r="H45" s="22">
        <v>0</v>
      </c>
      <c r="I45" s="195">
        <f>COUNTA(L!B7:B23)</f>
        <v>17</v>
      </c>
      <c r="J45" s="42"/>
    </row>
    <row r="47" spans="1:10" x14ac:dyDescent="0.2">
      <c r="A47" s="183" t="s">
        <v>115</v>
      </c>
    </row>
    <row r="48" spans="1:10" x14ac:dyDescent="0.2">
      <c r="A48" s="196" t="s">
        <v>510</v>
      </c>
    </row>
    <row r="49" spans="1:9" x14ac:dyDescent="0.2">
      <c r="A49" s="1202" t="s">
        <v>509</v>
      </c>
      <c r="B49" s="187"/>
      <c r="C49" s="187"/>
      <c r="D49" s="187"/>
      <c r="E49" s="187"/>
      <c r="F49" s="187"/>
      <c r="G49" s="187"/>
      <c r="H49" s="42"/>
      <c r="I49" s="42"/>
    </row>
    <row r="50" spans="1:9" s="42" customFormat="1" x14ac:dyDescent="0.2">
      <c r="A50" s="775" t="s">
        <v>508</v>
      </c>
      <c r="B50" s="318"/>
      <c r="C50" s="318"/>
      <c r="D50" s="318"/>
      <c r="E50" s="318"/>
      <c r="F50" s="318"/>
      <c r="G50" s="318"/>
      <c r="H50" s="318"/>
      <c r="I50" s="318"/>
    </row>
    <row r="51" spans="1:9" x14ac:dyDescent="0.2">
      <c r="A51" s="1194" t="s">
        <v>617</v>
      </c>
      <c r="B51" s="197"/>
      <c r="C51" s="197"/>
      <c r="D51" s="42"/>
      <c r="E51" s="42"/>
      <c r="F51" s="42"/>
      <c r="G51" s="42"/>
      <c r="H51" s="1201"/>
      <c r="I51" s="42"/>
    </row>
    <row r="52" spans="1:9" x14ac:dyDescent="0.2">
      <c r="A52" s="29" t="s">
        <v>21</v>
      </c>
    </row>
  </sheetData>
  <autoFilter ref="A3:H45"/>
  <mergeCells count="4">
    <mergeCell ref="A43:A44"/>
    <mergeCell ref="B43:B44"/>
    <mergeCell ref="F43:F44"/>
    <mergeCell ref="G43:G44"/>
  </mergeCells>
  <conditionalFormatting sqref="I5:I29 I32:I45">
    <cfRule type="top10" dxfId="155" priority="1" stopIfTrue="1" rank="1"/>
  </conditionalFormatting>
  <pageMargins left="0.39370078740157483" right="0.39370078740157483" top="0.98425196850393704" bottom="0.39370078740157483" header="0.59055118110236227" footer="0"/>
  <pageSetup paperSize="9" fitToHeight="0" orientation="portrait" horizontalDpi="180" verticalDpi="180" r:id="rId1"/>
  <headerFooter>
    <oddHeader>&amp;R&amp;"Arial,Regular"&amp;9Page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27"/>
  <sheetViews>
    <sheetView showGridLines="0" showRowColHeaders="0" tabSelected="1" zoomScaleNormal="100" workbookViewId="0">
      <pane ySplit="3" topLeftCell="A4" activePane="bottomLeft" state="frozen"/>
      <selection activeCell="I1" sqref="I1"/>
      <selection pane="bottomLeft" activeCell="G116" sqref="G116:G119"/>
    </sheetView>
  </sheetViews>
  <sheetFormatPr defaultRowHeight="12.75" x14ac:dyDescent="0.2"/>
  <cols>
    <col min="1" max="1" width="1.7109375" style="6" customWidth="1"/>
    <col min="2" max="2" width="3" style="6" bestFit="1" customWidth="1"/>
    <col min="3" max="3" width="12.7109375" style="6" customWidth="1"/>
    <col min="4" max="4" width="3" style="6" bestFit="1" customWidth="1"/>
    <col min="5" max="5" width="7.7109375" style="7" customWidth="1"/>
    <col min="6" max="6" width="3" style="7" bestFit="1" customWidth="1"/>
    <col min="7" max="7" width="14.28515625" style="6" customWidth="1"/>
    <col min="8" max="8" width="3" style="6" bestFit="1" customWidth="1"/>
    <col min="9" max="9" width="1.7109375" style="6" customWidth="1"/>
    <col min="10" max="10" width="3" style="6" bestFit="1" customWidth="1"/>
    <col min="11" max="11" width="19" style="6" customWidth="1"/>
    <col min="12" max="12" width="3" style="6" bestFit="1" customWidth="1"/>
    <col min="13" max="13" width="19" style="6" customWidth="1"/>
    <col min="14" max="14" width="3" style="7" customWidth="1"/>
    <col min="15" max="16" width="0.28515625" style="6" customWidth="1"/>
    <col min="17" max="16384" width="9.140625" style="6"/>
  </cols>
  <sheetData>
    <row r="1" spans="1:16" x14ac:dyDescent="0.2">
      <c r="A1" s="45" t="s">
        <v>91</v>
      </c>
      <c r="B1" s="45"/>
      <c r="C1" s="9"/>
      <c r="D1" s="9"/>
      <c r="E1" s="45"/>
      <c r="F1" s="45"/>
      <c r="G1" s="9"/>
      <c r="H1" s="9"/>
      <c r="I1" s="9"/>
      <c r="J1" s="9"/>
      <c r="K1" s="9"/>
      <c r="L1" s="1177" t="s">
        <v>597</v>
      </c>
      <c r="N1" s="478"/>
    </row>
    <row r="2" spans="1:16" ht="13.5" thickBot="1" x14ac:dyDescent="0.25">
      <c r="A2" s="9"/>
      <c r="B2" s="9"/>
      <c r="C2" s="9"/>
      <c r="D2" s="9"/>
      <c r="E2" s="45"/>
      <c r="F2" s="45"/>
      <c r="G2" s="9"/>
      <c r="H2" s="9"/>
      <c r="I2" s="9"/>
      <c r="J2" s="9"/>
      <c r="K2" s="9"/>
      <c r="L2" s="9"/>
      <c r="M2" s="9"/>
      <c r="N2" s="45"/>
    </row>
    <row r="3" spans="1:16" ht="13.5" thickBot="1" x14ac:dyDescent="0.25">
      <c r="A3" s="121" t="s">
        <v>22</v>
      </c>
      <c r="B3" s="122"/>
      <c r="C3" s="123" t="s">
        <v>23</v>
      </c>
      <c r="D3" s="122"/>
      <c r="E3" s="121" t="s">
        <v>24</v>
      </c>
      <c r="F3" s="122"/>
      <c r="G3" s="121" t="s">
        <v>25</v>
      </c>
      <c r="H3" s="122"/>
      <c r="I3" s="121" t="s">
        <v>26</v>
      </c>
      <c r="J3" s="122"/>
      <c r="K3" s="121" t="s">
        <v>27</v>
      </c>
      <c r="L3" s="122"/>
      <c r="M3" s="121" t="s">
        <v>28</v>
      </c>
      <c r="N3" s="122"/>
    </row>
    <row r="4" spans="1:16" s="7" customFormat="1" x14ac:dyDescent="0.2">
      <c r="A4" s="177" t="s">
        <v>93</v>
      </c>
      <c r="B4" s="182"/>
      <c r="C4" s="181"/>
      <c r="D4" s="26"/>
      <c r="E4" s="26"/>
      <c r="F4" s="26"/>
      <c r="G4" s="26"/>
      <c r="H4" s="26"/>
      <c r="I4" s="24"/>
      <c r="J4" s="24"/>
      <c r="K4" s="26"/>
      <c r="L4" s="124"/>
      <c r="M4" s="175" t="str">
        <f>HYPERLINK("#A!K1","Avavõistlus, ÜKSIK")</f>
        <v>Avavõistlus, ÜKSIK</v>
      </c>
      <c r="N4" s="1183">
        <v>1</v>
      </c>
      <c r="P4" s="207"/>
    </row>
    <row r="5" spans="1:16" x14ac:dyDescent="0.2">
      <c r="A5" s="26"/>
      <c r="B5" s="24"/>
      <c r="C5" s="26"/>
      <c r="D5" s="24"/>
      <c r="E5" s="26"/>
      <c r="F5" s="24"/>
      <c r="G5" s="26"/>
      <c r="H5" s="24"/>
      <c r="I5" s="26"/>
      <c r="J5" s="26"/>
      <c r="K5" s="26"/>
      <c r="L5" s="124"/>
      <c r="M5" s="1376" t="str">
        <f>HYPERLINK("http://kaart.delfi.ee/?bookmark=521b80d6ceeefbe3e5d227267242b576","K-Järve")</f>
        <v>K-Järve</v>
      </c>
      <c r="N5" s="1377"/>
      <c r="P5" s="207"/>
    </row>
    <row r="6" spans="1:16" s="204" customFormat="1" x14ac:dyDescent="0.2">
      <c r="A6" s="26"/>
      <c r="B6" s="24"/>
      <c r="C6" s="26"/>
      <c r="D6" s="24"/>
      <c r="E6" s="26"/>
      <c r="F6" s="24"/>
      <c r="G6" s="26"/>
      <c r="H6" s="24"/>
      <c r="I6" s="26"/>
      <c r="J6" s="26"/>
      <c r="K6" s="26"/>
      <c r="L6" s="124"/>
      <c r="M6" s="1378" t="str">
        <f>HYPERLINK("http://www.petanque.ee/index.php?id=103738&amp;cid=466","12.Tartu Vaim,TRIO+DUO")</f>
        <v>12.Tartu Vaim,TRIO+DUO</v>
      </c>
      <c r="N6" s="1379"/>
      <c r="P6" s="207"/>
    </row>
    <row r="7" spans="1:16" s="204" customFormat="1" ht="13.5" thickBot="1" x14ac:dyDescent="0.25">
      <c r="A7" s="26"/>
      <c r="B7" s="24"/>
      <c r="C7" s="26"/>
      <c r="D7" s="24"/>
      <c r="E7" s="26"/>
      <c r="F7" s="24"/>
      <c r="G7" s="26"/>
      <c r="H7" s="24"/>
      <c r="I7" s="26"/>
      <c r="J7" s="26"/>
      <c r="K7" s="26"/>
      <c r="L7" s="124"/>
      <c r="M7" s="778" t="str">
        <f>HYPERLINK("http://kaart.delfi.ee/?bookmark=d9da63566809feae32e6ca75683e42cd","Tartu, Lossi 25")</f>
        <v>Tartu, Lossi 25</v>
      </c>
      <c r="N7" s="841" t="str">
        <f>HYPERLINK("http://www.petanque.ee/index.php?id=&amp;news_id=1073","tul")</f>
        <v>tul</v>
      </c>
      <c r="P7" s="207"/>
    </row>
    <row r="8" spans="1:16" s="7" customFormat="1" x14ac:dyDescent="0.2">
      <c r="A8" s="127"/>
      <c r="B8" s="1180">
        <v>2</v>
      </c>
      <c r="C8" s="129"/>
      <c r="D8" s="1180">
        <v>3</v>
      </c>
      <c r="E8" s="783" t="str">
        <f>HYPERLINK("#V1!G1","Voka 3. ")</f>
        <v xml:space="preserve">Voka 3. </v>
      </c>
      <c r="F8" s="1180">
        <v>4</v>
      </c>
      <c r="G8" s="781" t="str">
        <f>HYPERLINK("#1!G1","K-Järve 15. KV ")</f>
        <v xml:space="preserve">K-Järve 15. KV </v>
      </c>
      <c r="H8" s="1180">
        <v>5</v>
      </c>
      <c r="I8" s="130"/>
      <c r="J8" s="1180">
        <v>6</v>
      </c>
      <c r="K8" s="779" t="str">
        <f>HYPERLINK("http://www.petanque.ee/index.php?id=103738&amp;cid=416","EPKL reiting, ")</f>
        <v xml:space="preserve">EPKL reiting, </v>
      </c>
      <c r="L8" s="1180">
        <v>7</v>
      </c>
      <c r="M8" s="779" t="str">
        <f>HYPERLINK("http://www.petanque.ee/index.php?id=103738&amp;cid=417","EPKL reiting, ")</f>
        <v xml:space="preserve">EPKL reiting, </v>
      </c>
      <c r="N8" s="1180">
        <v>8</v>
      </c>
      <c r="P8" s="208"/>
    </row>
    <row r="9" spans="1:16" s="7" customFormat="1" x14ac:dyDescent="0.2">
      <c r="A9" s="131"/>
      <c r="B9" s="124"/>
      <c r="C9" s="26"/>
      <c r="D9" s="124"/>
      <c r="E9" s="784" t="s">
        <v>620</v>
      </c>
      <c r="F9" s="212"/>
      <c r="G9" s="782" t="s">
        <v>168</v>
      </c>
      <c r="H9" s="132"/>
      <c r="I9" s="24"/>
      <c r="J9" s="124"/>
      <c r="K9" s="111" t="s">
        <v>117</v>
      </c>
      <c r="L9" s="124"/>
      <c r="M9" s="111" t="s">
        <v>233</v>
      </c>
      <c r="N9" s="124"/>
      <c r="P9" s="207"/>
    </row>
    <row r="10" spans="1:16" ht="13.5" thickBot="1" x14ac:dyDescent="0.25">
      <c r="A10" s="133"/>
      <c r="B10" s="126"/>
      <c r="C10" s="25"/>
      <c r="D10" s="126"/>
      <c r="E10" s="314" t="str">
        <f>HYPERLINK("http://kaart.delfi.ee/?bookmark=63ebb20d0f5732aa12acf360e2b986df","Voka")</f>
        <v>Voka</v>
      </c>
      <c r="F10" s="213"/>
      <c r="G10" s="643" t="str">
        <f>HYPERLINK("http://kaart.delfi.ee/?bookmark=521b80d6ceeefbe3e5d227267242b576","K-Järve")</f>
        <v>K-Järve</v>
      </c>
      <c r="H10" s="134"/>
      <c r="I10" s="125"/>
      <c r="J10" s="126"/>
      <c r="K10" s="780" t="str">
        <f>HYPERLINK("http://kaart.delfi.ee//?bookmark=02a763eb5e2ccd81dd84675ce47ef3f0","Jüri")</f>
        <v>Jüri</v>
      </c>
      <c r="L10" s="981" t="str">
        <f>HYPERLINK("http://raespordikeskus.ee/index.php/petank/fotod","fo")</f>
        <v>fo</v>
      </c>
      <c r="M10" s="780" t="str">
        <f>HYPERLINK("http://kaart.delfi.ee//?bookmark=02a763eb5e2ccd81dd84675ce47ef3f0","Jüri")</f>
        <v>Jüri</v>
      </c>
      <c r="N10" s="126"/>
      <c r="P10" s="207"/>
    </row>
    <row r="11" spans="1:16" s="7" customFormat="1" x14ac:dyDescent="0.2">
      <c r="A11" s="127"/>
      <c r="B11" s="1180">
        <v>9</v>
      </c>
      <c r="C11" s="129"/>
      <c r="D11" s="1180">
        <v>10</v>
      </c>
      <c r="E11" s="127"/>
      <c r="F11" s="1180">
        <v>11</v>
      </c>
      <c r="G11" s="108"/>
      <c r="H11" s="1180">
        <v>12</v>
      </c>
      <c r="I11" s="130"/>
      <c r="J11" s="1180">
        <v>13</v>
      </c>
      <c r="K11" s="1217" t="str">
        <f>HYPERLINK("http://www.petanque.ee/index.php?id=103738&amp;cid=419","Baltic Cup 1. etapp, ")</f>
        <v xml:space="preserve">Baltic Cup 1. etapp, </v>
      </c>
      <c r="L11" s="1180">
        <v>14</v>
      </c>
      <c r="M11" s="814" t="str">
        <f>HYPERLINK("#2!I1","K-Järve 15. KV ")</f>
        <v xml:space="preserve">K-Järve 15. KV </v>
      </c>
      <c r="N11" s="1180">
        <v>15</v>
      </c>
      <c r="P11" s="207"/>
    </row>
    <row r="12" spans="1:16" s="7" customFormat="1" x14ac:dyDescent="0.2">
      <c r="A12" s="131"/>
      <c r="B12" s="124"/>
      <c r="C12" s="26"/>
      <c r="D12" s="124"/>
      <c r="E12" s="131"/>
      <c r="F12" s="124"/>
      <c r="G12" s="110"/>
      <c r="H12" s="124"/>
      <c r="I12" s="24"/>
      <c r="J12" s="124"/>
      <c r="K12" s="1216" t="s">
        <v>117</v>
      </c>
      <c r="L12" s="1169" t="str">
        <f>HYPERLINK("http://boule.lv/kalendars/14052016-balticcup_2016_lithuania/nolikums","inf")</f>
        <v>inf</v>
      </c>
      <c r="M12" s="782" t="s">
        <v>167</v>
      </c>
      <c r="N12" s="132"/>
      <c r="P12" s="207"/>
    </row>
    <row r="13" spans="1:16" s="7" customFormat="1" x14ac:dyDescent="0.2">
      <c r="A13" s="131"/>
      <c r="B13" s="124"/>
      <c r="C13" s="26"/>
      <c r="D13" s="124"/>
      <c r="E13" s="1168" t="s">
        <v>296</v>
      </c>
      <c r="F13" s="124"/>
      <c r="G13" s="110"/>
      <c r="H13" s="124"/>
      <c r="I13" s="24"/>
      <c r="J13" s="124"/>
      <c r="K13" s="1318" t="s">
        <v>192</v>
      </c>
      <c r="L13" s="1319" t="str">
        <f>HYPERLINK("https://www.facebook.com/PetankesSportoKlubasSiauliai/?fref=nf","fb")</f>
        <v>fb</v>
      </c>
      <c r="M13" s="1320" t="str">
        <f>HYPERLINK("http://kaart.delfi.ee/?bookmark=521b80d6ceeefbe3e5d227267242b576","K-Järve")</f>
        <v>K-Järve</v>
      </c>
      <c r="N13" s="1321"/>
      <c r="P13" s="207"/>
    </row>
    <row r="14" spans="1:16" s="7" customFormat="1" x14ac:dyDescent="0.2">
      <c r="A14" s="211"/>
      <c r="B14" s="124"/>
      <c r="C14" s="26"/>
      <c r="D14" s="124"/>
      <c r="E14" s="211"/>
      <c r="F14" s="124"/>
      <c r="G14" s="214"/>
      <c r="H14" s="124"/>
      <c r="I14" s="24"/>
      <c r="J14" s="124"/>
      <c r="K14" s="1322" t="str">
        <f>HYPERLINK("http://www.petanque.ee/index.php?id=103738&amp;cid=418","EM katsevõistluste ")</f>
        <v xml:space="preserve">EM katsevõistluste </v>
      </c>
      <c r="L14" s="1323"/>
      <c r="M14" s="1324" t="str">
        <f>HYPERLINK("http://www.petanque.ee/index.php?id=103589&amp;cid=467","EM katsevõistlused ")</f>
        <v xml:space="preserve">EM katsevõistlused </v>
      </c>
      <c r="N14" s="1325"/>
      <c r="P14" s="207"/>
    </row>
    <row r="15" spans="1:16" s="7" customFormat="1" x14ac:dyDescent="0.2">
      <c r="A15" s="131"/>
      <c r="B15" s="124"/>
      <c r="C15" s="26"/>
      <c r="D15" s="124"/>
      <c r="E15" s="131"/>
      <c r="F15" s="124"/>
      <c r="G15" s="110"/>
      <c r="H15" s="124"/>
      <c r="I15" s="24"/>
      <c r="J15" s="124"/>
      <c r="K15" s="1216" t="s">
        <v>637</v>
      </c>
      <c r="L15" s="124"/>
      <c r="M15" s="1219" t="s">
        <v>292</v>
      </c>
      <c r="N15" s="1169" t="str">
        <f>HYPERLINK("http://www.petanque.ee/index.php?id=&amp;news_id=1076","inf")</f>
        <v>inf</v>
      </c>
      <c r="P15" s="207"/>
    </row>
    <row r="16" spans="1:16" ht="13.5" thickBot="1" x14ac:dyDescent="0.25">
      <c r="A16" s="131"/>
      <c r="B16" s="124"/>
      <c r="C16" s="26"/>
      <c r="D16" s="124"/>
      <c r="E16" s="131"/>
      <c r="F16" s="124"/>
      <c r="G16" s="137"/>
      <c r="H16" s="126"/>
      <c r="I16" s="24"/>
      <c r="J16" s="124"/>
      <c r="K16" s="1231" t="str">
        <f>HYPERLINK("http://kaart.delfi.ee/?bookmark=0807568cf7d8a03cedbb545921254497","Tallinna petangihall")</f>
        <v>Tallinna petangihall</v>
      </c>
      <c r="L16" s="124"/>
      <c r="M16" s="1232" t="s">
        <v>291</v>
      </c>
      <c r="N16" s="1170"/>
      <c r="P16" s="207"/>
    </row>
    <row r="17" spans="1:18" s="7" customFormat="1" x14ac:dyDescent="0.2">
      <c r="A17" s="127"/>
      <c r="B17" s="1180">
        <v>16</v>
      </c>
      <c r="C17" s="174" t="str">
        <f>HYPERLINK("#M1!I1","Mäetaguse 7. ")</f>
        <v xml:space="preserve">Mäetaguse 7. </v>
      </c>
      <c r="D17" s="1180">
        <v>17</v>
      </c>
      <c r="E17" s="129"/>
      <c r="F17" s="1180">
        <v>18</v>
      </c>
      <c r="G17" s="109"/>
      <c r="H17" s="1180">
        <v>19</v>
      </c>
      <c r="I17" s="130"/>
      <c r="J17" s="1180">
        <v>20</v>
      </c>
      <c r="K17" s="779" t="str">
        <f>HYPERLINK("http://www.petanque.ee/index.php?id=103738&amp;cid=420","26. Eesti MV, ")</f>
        <v xml:space="preserve">26. Eesti MV, </v>
      </c>
      <c r="L17" s="1180">
        <v>21</v>
      </c>
      <c r="M17" s="779" t="str">
        <f>HYPERLINK("http://www.petanque.ee/index.php?id=103738&amp;cid=421","EPKL reiting, ")</f>
        <v xml:space="preserve">EPKL reiting, </v>
      </c>
      <c r="N17" s="1180">
        <v>22</v>
      </c>
      <c r="P17" s="208"/>
    </row>
    <row r="18" spans="1:18" s="7" customFormat="1" x14ac:dyDescent="0.2">
      <c r="A18" s="131"/>
      <c r="B18" s="124"/>
      <c r="C18" s="785" t="s">
        <v>630</v>
      </c>
      <c r="D18" s="136"/>
      <c r="E18" s="26"/>
      <c r="F18" s="124"/>
      <c r="G18" s="111"/>
      <c r="H18" s="124"/>
      <c r="I18" s="24"/>
      <c r="J18" s="124"/>
      <c r="K18" s="111" t="s">
        <v>134</v>
      </c>
      <c r="L18" s="124"/>
      <c r="M18" s="111" t="s">
        <v>117</v>
      </c>
      <c r="N18" s="124"/>
      <c r="P18" s="207"/>
    </row>
    <row r="19" spans="1:18" s="7" customFormat="1" ht="15.75" customHeight="1" thickBot="1" x14ac:dyDescent="0.25">
      <c r="A19" s="133"/>
      <c r="B19" s="126"/>
      <c r="C19" s="786" t="str">
        <f>HYPERLINK("http://kaart.delfi.ee/?bookmark=96e8ef31375c7e6041cd302dca543f69","Mäetaguse")</f>
        <v>Mäetaguse</v>
      </c>
      <c r="D19" s="152"/>
      <c r="E19" s="25"/>
      <c r="F19" s="126"/>
      <c r="G19" s="125"/>
      <c r="H19" s="126"/>
      <c r="I19" s="125"/>
      <c r="J19" s="126"/>
      <c r="K19" s="1268" t="str">
        <f>HYPERLINK("http://kaart.delfi.ee/?bookmark=fe8345aadbbb857f009aae03c00eea11","Tallinn, Kadrioru park")</f>
        <v>Tallinn, Kadrioru park</v>
      </c>
      <c r="L19" s="112"/>
      <c r="M19" s="794" t="str">
        <f>HYPERLINK("http://kaart.delfi.ee//?bookmark=36ee67ba7cba151859305c222805d114","Saku")</f>
        <v>Saku</v>
      </c>
      <c r="N19" s="981" t="str">
        <f>HYPERLINK("https://www.facebook.com/267634706906332/photos/a.281014462235023.1073741830.267634706906332/281014492235020/?type=3","fo")</f>
        <v>fo</v>
      </c>
      <c r="P19" s="207"/>
    </row>
    <row r="20" spans="1:18" s="7" customFormat="1" x14ac:dyDescent="0.2">
      <c r="A20" s="131"/>
      <c r="B20" s="1181">
        <v>23</v>
      </c>
      <c r="C20" s="26"/>
      <c r="D20" s="1181">
        <v>24</v>
      </c>
      <c r="E20" s="783" t="str">
        <f>HYPERLINK("#V2!G1","Voka 3. ")</f>
        <v xml:space="preserve">Voka 3. </v>
      </c>
      <c r="F20" s="1181">
        <v>25</v>
      </c>
      <c r="G20" s="303" t="str">
        <f>HYPERLINK("#3!J1","K-Järve 15. KV ")</f>
        <v xml:space="preserve">K-Järve 15. KV </v>
      </c>
      <c r="H20" s="1180">
        <v>26</v>
      </c>
      <c r="I20" s="24"/>
      <c r="J20" s="1181">
        <v>27</v>
      </c>
      <c r="K20" s="789" t="str">
        <f>HYPERLINK("http://www.petanque.ee/index.php?id=103738&amp;cid=465","ESL Individuaal-võist-")</f>
        <v>ESL Individuaal-võist-</v>
      </c>
      <c r="L20" s="1180">
        <v>28</v>
      </c>
      <c r="M20" s="792" t="str">
        <f>HYPERLINK("http://www.petanque.ee/index.php?id=103738&amp;cid=422","EMSL Jõud MV, ")</f>
        <v xml:space="preserve">EMSL Jõud MV, </v>
      </c>
      <c r="N20" s="1180">
        <v>29</v>
      </c>
      <c r="P20" s="207"/>
    </row>
    <row r="21" spans="1:18" s="7" customFormat="1" x14ac:dyDescent="0.2">
      <c r="A21" s="131"/>
      <c r="B21" s="124"/>
      <c r="C21" s="26"/>
      <c r="D21" s="124"/>
      <c r="E21" s="784" t="s">
        <v>621</v>
      </c>
      <c r="F21" s="212"/>
      <c r="G21" s="782" t="s">
        <v>169</v>
      </c>
      <c r="H21" s="132"/>
      <c r="I21" s="24"/>
      <c r="J21" s="124"/>
      <c r="K21" s="790" t="s">
        <v>406</v>
      </c>
      <c r="L21" s="982" t="str">
        <f>HYPERLINK("http://esvl.ee/uus/wp-content/uploads/2016/06/Koopia-failist-Seenioride-petanki-MV-2016.xlsx","tul")</f>
        <v>tul</v>
      </c>
      <c r="M21" s="793" t="s">
        <v>394</v>
      </c>
      <c r="N21" s="982" t="str">
        <f>HYPERLINK("http://www.valgapetank.ee/moodul.php?moodul=CMS&amp;Komponent=NewsFront&amp;f=viewNews&amp;id=221","inf")</f>
        <v>inf</v>
      </c>
      <c r="P21" s="207"/>
    </row>
    <row r="22" spans="1:18" ht="13.5" thickBot="1" x14ac:dyDescent="0.25">
      <c r="A22" s="133"/>
      <c r="B22" s="126"/>
      <c r="C22" s="133"/>
      <c r="D22" s="126"/>
      <c r="E22" s="314" t="str">
        <f>HYPERLINK("http://kaart.delfi.ee/?bookmark=63ebb20d0f5732aa12acf360e2b986df","Voka")</f>
        <v>Voka</v>
      </c>
      <c r="F22" s="213"/>
      <c r="G22" s="306" t="str">
        <f>HYPERLINK("http://kaart.delfi.ee/?bookmark=521b80d6ceeefbe3e5d227267242b576","K-Järve")</f>
        <v>K-Järve</v>
      </c>
      <c r="H22" s="134"/>
      <c r="I22" s="125"/>
      <c r="J22" s="126"/>
      <c r="K22" s="791" t="str">
        <f>HYPERLINK("http://kaart.delfi.ee//?bookmark=79949f07412e788c960acb9020634805","Valga, Pärna pst 17a")</f>
        <v>Valga, Pärna pst 17a</v>
      </c>
      <c r="L22" s="983" t="str">
        <f>HYPERLINK("http://www.valgapetank.ee/moodul.php?moodul=CMS&amp;Komponent=NewsFront&amp;f=viewNews&amp;id=220","juh")</f>
        <v>juh</v>
      </c>
      <c r="M22" s="791" t="str">
        <f>HYPERLINK("http://kaart.delfi.ee/?bookmark=037591353bf9698628b723dab6c5e799","Valga")</f>
        <v>Valga</v>
      </c>
      <c r="N22" s="983" t="str">
        <f>HYPERLINK("http://www.joud.ee/est/g78s3797","juh")</f>
        <v>juh</v>
      </c>
      <c r="O22" s="422"/>
      <c r="P22" s="207"/>
    </row>
    <row r="23" spans="1:18" ht="13.5" thickBot="1" x14ac:dyDescent="0.25">
      <c r="A23" s="177" t="s">
        <v>94</v>
      </c>
      <c r="B23" s="178"/>
      <c r="C23" s="181"/>
      <c r="D23" s="24"/>
      <c r="E23" s="721"/>
      <c r="F23" s="24"/>
      <c r="G23" s="26"/>
      <c r="H23" s="24"/>
      <c r="I23" s="24"/>
      <c r="J23" s="24"/>
      <c r="K23" s="26"/>
      <c r="L23" s="24"/>
      <c r="M23" s="26"/>
      <c r="N23" s="24"/>
      <c r="P23" s="207"/>
    </row>
    <row r="24" spans="1:18" s="7" customFormat="1" x14ac:dyDescent="0.2">
      <c r="A24" s="127"/>
      <c r="B24" s="1180">
        <v>30</v>
      </c>
      <c r="C24" s="129"/>
      <c r="D24" s="1180">
        <v>31</v>
      </c>
      <c r="E24" s="787" t="str">
        <f>HYPERLINK("#V3!G1","Voka 3. ")</f>
        <v xml:space="preserve">Voka 3. </v>
      </c>
      <c r="F24" s="1180">
        <v>1</v>
      </c>
      <c r="G24" s="109"/>
      <c r="H24" s="1180">
        <v>2</v>
      </c>
      <c r="I24" s="130"/>
      <c r="J24" s="1180">
        <v>3</v>
      </c>
      <c r="K24" s="779" t="str">
        <f>HYPERLINK("http://www.petanque.ee/index.php?id=103738&amp;cid=424","EPKL reiting, ")</f>
        <v xml:space="preserve">EPKL reiting, </v>
      </c>
      <c r="L24" s="1180">
        <v>4</v>
      </c>
      <c r="M24" s="779" t="str">
        <f>HYPERLINK("http://www.petanque.ee/index.php?id=103738&amp;cid=423","EPKL reiting, ")</f>
        <v xml:space="preserve">EPKL reiting, </v>
      </c>
      <c r="N24" s="1180">
        <v>5</v>
      </c>
      <c r="P24" s="208"/>
    </row>
    <row r="25" spans="1:18" s="7" customFormat="1" x14ac:dyDescent="0.2">
      <c r="A25" s="131"/>
      <c r="B25" s="124"/>
      <c r="C25" s="1171" t="str">
        <f>HYPERLINK("http://www.petanque.ee/index.php?id=&amp;news_id=1081","registr.")</f>
        <v>registr.</v>
      </c>
      <c r="D25" s="124"/>
      <c r="E25" s="788" t="s">
        <v>622</v>
      </c>
      <c r="F25" s="212"/>
      <c r="G25" s="111"/>
      <c r="H25" s="124"/>
      <c r="I25" s="24"/>
      <c r="J25" s="124"/>
      <c r="K25" s="111" t="s">
        <v>118</v>
      </c>
      <c r="L25" s="115"/>
      <c r="M25" s="114" t="s">
        <v>395</v>
      </c>
      <c r="N25" s="124"/>
      <c r="P25" s="207"/>
    </row>
    <row r="26" spans="1:18" ht="13.5" thickBot="1" x14ac:dyDescent="0.25">
      <c r="A26" s="133"/>
      <c r="B26" s="126"/>
      <c r="C26" s="25"/>
      <c r="D26" s="126"/>
      <c r="E26" s="314" t="str">
        <f>HYPERLINK("http://kaart.delfi.ee/?bookmark=63ebb20d0f5732aa12acf360e2b986df","Voka")</f>
        <v>Voka</v>
      </c>
      <c r="F26" s="213"/>
      <c r="G26" s="137"/>
      <c r="H26" s="126"/>
      <c r="I26" s="125"/>
      <c r="J26" s="126"/>
      <c r="K26" s="795" t="str">
        <f>HYPERLINK("http://kaart.delfi.ee/?bookmark=a13a9530590da153a95a150c883f6040","Viljandi")</f>
        <v>Viljandi</v>
      </c>
      <c r="L26" s="138"/>
      <c r="M26" s="795" t="str">
        <f>HYPERLINK("http://kaart.delfi.ee/?bookmark=a13a9530590da153a95a150c883f6040","Viljandi")</f>
        <v>Viljandi</v>
      </c>
      <c r="N26" s="138"/>
      <c r="P26" s="207"/>
    </row>
    <row r="27" spans="1:18" s="7" customFormat="1" x14ac:dyDescent="0.2">
      <c r="A27" s="127"/>
      <c r="B27" s="1180">
        <v>6</v>
      </c>
      <c r="C27" s="129"/>
      <c r="D27" s="1180">
        <v>7</v>
      </c>
      <c r="E27" s="127"/>
      <c r="F27" s="1180">
        <v>8</v>
      </c>
      <c r="G27" s="303" t="str">
        <f>HYPERLINK("#4!J1","I-Virumaa MV, ")</f>
        <v xml:space="preserve">I-Virumaa MV, </v>
      </c>
      <c r="H27" s="1180">
        <v>9</v>
      </c>
      <c r="I27" s="130"/>
      <c r="J27" s="1180">
        <v>10</v>
      </c>
      <c r="K27" s="1215" t="str">
        <f>HYPERLINK("http://www.petanque.ee/index.php?id=103589&amp;cid=469","EM katsevõistlused ")</f>
        <v xml:space="preserve">EM katsevõistlused </v>
      </c>
      <c r="L27" s="1180">
        <v>11</v>
      </c>
      <c r="M27" s="796" t="str">
        <f>HYPERLINK("#Mu!J1","Toila valla MV ")</f>
        <v xml:space="preserve">Toila valla MV </v>
      </c>
      <c r="N27" s="1180">
        <v>12</v>
      </c>
      <c r="P27" s="207"/>
    </row>
    <row r="28" spans="1:18" s="7" customFormat="1" x14ac:dyDescent="0.2">
      <c r="A28" s="131"/>
      <c r="B28" s="124"/>
      <c r="C28" s="26"/>
      <c r="D28" s="124"/>
      <c r="E28" s="131"/>
      <c r="F28" s="124"/>
      <c r="G28" s="304" t="s">
        <v>117</v>
      </c>
      <c r="H28" s="132"/>
      <c r="I28" s="24"/>
      <c r="J28" s="124"/>
      <c r="K28" s="1216" t="s">
        <v>340</v>
      </c>
      <c r="L28" s="124"/>
      <c r="M28" s="797" t="s">
        <v>195</v>
      </c>
      <c r="N28" s="315"/>
      <c r="P28" s="207"/>
    </row>
    <row r="29" spans="1:18" s="7" customFormat="1" x14ac:dyDescent="0.2">
      <c r="A29" s="131"/>
      <c r="B29" s="124"/>
      <c r="C29" s="26"/>
      <c r="D29" s="124"/>
      <c r="E29" s="131"/>
      <c r="F29" s="124"/>
      <c r="G29" s="872" t="str">
        <f>HYPERLINK("http://kaart.delfi.ee//?bookmark=8f83f1ab972c63fecc107285cdd50a9f","K-Nõmme")</f>
        <v>K-Nõmme</v>
      </c>
      <c r="H29" s="132"/>
      <c r="I29" s="24"/>
      <c r="J29" s="124"/>
      <c r="K29" s="1326" t="str">
        <f>HYPERLINK("http://kaart.delfi.ee//?bookmark=02a763eb5e2ccd81dd84675ce47ef3f0","Jüri")</f>
        <v>Jüri</v>
      </c>
      <c r="L29" s="1327"/>
      <c r="M29" s="1328" t="str">
        <f>HYPERLINK("http://kaart.delfi.ee/?bookmark=63ebb20d0f5732aa12acf360e2b986df","Voka")</f>
        <v>Voka</v>
      </c>
      <c r="N29" s="1329"/>
      <c r="P29" s="207"/>
    </row>
    <row r="30" spans="1:18" s="7" customFormat="1" x14ac:dyDescent="0.2">
      <c r="A30" s="131"/>
      <c r="B30" s="124"/>
      <c r="C30" s="26"/>
      <c r="D30" s="124"/>
      <c r="E30" s="131"/>
      <c r="F30" s="124"/>
      <c r="G30" s="320"/>
      <c r="H30" s="132"/>
      <c r="I30" s="24"/>
      <c r="J30" s="124"/>
      <c r="K30" s="1330" t="str">
        <f>HYPERLINK("http://www.petanque.ee/index.php?id=103738&amp;cid=425","EM katsevõistluste ")</f>
        <v xml:space="preserve">EM katsevõistluste </v>
      </c>
      <c r="L30" s="1323"/>
      <c r="M30" s="1331" t="str">
        <f>HYPERLINK("http://www.petanque.ee/index.php?id=103738&amp;cid=426","EM katsevõistluste ")</f>
        <v xml:space="preserve">EM katsevõistluste </v>
      </c>
      <c r="N30" s="1323"/>
      <c r="P30" s="207"/>
    </row>
    <row r="31" spans="1:18" s="7" customFormat="1" x14ac:dyDescent="0.2">
      <c r="A31" s="131"/>
      <c r="B31" s="124"/>
      <c r="C31" s="26"/>
      <c r="D31" s="124"/>
      <c r="E31" s="211"/>
      <c r="F31" s="124"/>
      <c r="G31" s="304"/>
      <c r="H31" s="132"/>
      <c r="I31" s="24"/>
      <c r="J31" s="124"/>
      <c r="K31" s="1216" t="s">
        <v>113</v>
      </c>
      <c r="L31" s="124"/>
      <c r="M31" s="1216" t="s">
        <v>234</v>
      </c>
      <c r="N31" s="124"/>
      <c r="P31" s="207"/>
    </row>
    <row r="32" spans="1:18" ht="13.5" thickBot="1" x14ac:dyDescent="0.25">
      <c r="A32" s="133"/>
      <c r="B32" s="126"/>
      <c r="C32" s="25"/>
      <c r="D32" s="126"/>
      <c r="E32" s="133"/>
      <c r="F32" s="126"/>
      <c r="G32" s="801"/>
      <c r="H32" s="134"/>
      <c r="I32" s="125"/>
      <c r="J32" s="126"/>
      <c r="K32" s="1233" t="str">
        <f>HYPERLINK("http://kaart.delfi.ee/?bookmark=fe8345aadbbb857f009aae03c00eea11","Tallinn, Kadrioru park")</f>
        <v>Tallinn, Kadrioru park</v>
      </c>
      <c r="L32" s="126"/>
      <c r="M32" s="1234" t="str">
        <f>HYPERLINK("http://kaart.delfi.ee/?bookmark=3997edd9e42bffb3d1b01260e8774b71","Tallinn, Linnu tee 11")</f>
        <v>Tallinn, Linnu tee 11</v>
      </c>
      <c r="N32" s="126"/>
      <c r="P32" s="207"/>
      <c r="R32" s="7"/>
    </row>
    <row r="33" spans="1:20" s="7" customFormat="1" x14ac:dyDescent="0.2">
      <c r="A33" s="127"/>
      <c r="B33" s="1180">
        <v>13</v>
      </c>
      <c r="C33" s="174" t="str">
        <f>HYPERLINK("#M2!I1","Mäetaguse 7. ")</f>
        <v xml:space="preserve">Mäetaguse 7. </v>
      </c>
      <c r="D33" s="1180">
        <v>14</v>
      </c>
      <c r="E33" s="803"/>
      <c r="F33" s="1180">
        <v>15</v>
      </c>
      <c r="G33" s="139"/>
      <c r="H33" s="1180">
        <v>16</v>
      </c>
      <c r="I33" s="130"/>
      <c r="J33" s="1180">
        <v>17</v>
      </c>
      <c r="K33" s="779" t="str">
        <f>HYPERLINK("http://www.petanque.ee/index.php?id=103738&amp;cid=427","11. Eesti MV, ")</f>
        <v xml:space="preserve">11. Eesti MV, </v>
      </c>
      <c r="L33" s="1180">
        <v>18</v>
      </c>
      <c r="M33" s="779" t="str">
        <f>HYPERLINK("http://www.petanque.ee/index.php?id=103738&amp;cid=428","EPKL reiting, ")</f>
        <v xml:space="preserve">EPKL reiting, </v>
      </c>
      <c r="N33" s="1180">
        <v>19</v>
      </c>
      <c r="P33" s="208"/>
    </row>
    <row r="34" spans="1:20" s="7" customFormat="1" x14ac:dyDescent="0.2">
      <c r="A34" s="131"/>
      <c r="B34" s="124"/>
      <c r="C34" s="804" t="s">
        <v>631</v>
      </c>
      <c r="D34" s="136"/>
      <c r="E34" s="641"/>
      <c r="F34" s="124"/>
      <c r="G34" s="802"/>
      <c r="H34" s="124"/>
      <c r="I34" s="24"/>
      <c r="J34" s="124"/>
      <c r="K34" s="111" t="s">
        <v>119</v>
      </c>
      <c r="L34" s="124"/>
      <c r="M34" s="111" t="s">
        <v>118</v>
      </c>
      <c r="N34" s="124"/>
      <c r="P34" s="207"/>
    </row>
    <row r="35" spans="1:20" s="7" customFormat="1" ht="12.75" customHeight="1" x14ac:dyDescent="0.2">
      <c r="A35" s="131"/>
      <c r="B35" s="124"/>
      <c r="C35" s="805" t="str">
        <f>HYPERLINK("http://kaart.delfi.ee/?bookmark=96e8ef31375c7e6041cd302dca543f69","Mäetaguse")</f>
        <v>Mäetaguse</v>
      </c>
      <c r="D35" s="136"/>
      <c r="E35" s="642"/>
      <c r="F35" s="146"/>
      <c r="G35" s="802"/>
      <c r="H35" s="124"/>
      <c r="I35" s="24"/>
      <c r="J35" s="124"/>
      <c r="K35" s="1332" t="str">
        <f>HYPERLINK("http://kaart.delfi.ee/?bookmark=c3bc2d791932456b66ad8adb604010c1","Uuskalda (Läänemaa)")</f>
        <v>Uuskalda (Läänemaa)</v>
      </c>
      <c r="L35" s="1327"/>
      <c r="M35" s="798" t="str">
        <f>HYPERLINK("http://kaart.delfi.ee/?bookmark=c3bc2d791932456b66ad8adb604010c1","Uuskalda (Läänemaa)")</f>
        <v>Uuskalda (Läänemaa)</v>
      </c>
      <c r="N35" s="124"/>
      <c r="P35" s="207"/>
    </row>
    <row r="36" spans="1:20" s="7" customFormat="1" ht="12.75" customHeight="1" x14ac:dyDescent="0.2">
      <c r="A36" s="131"/>
      <c r="B36" s="124"/>
      <c r="C36" s="785"/>
      <c r="D36" s="136"/>
      <c r="E36" s="1389"/>
      <c r="F36" s="146"/>
      <c r="G36" s="802"/>
      <c r="H36" s="124"/>
      <c r="I36" s="24"/>
      <c r="J36" s="124"/>
      <c r="K36" s="1333" t="str">
        <f>HYPERLINK("http://www.petanque.ee/index.php?id=103738&amp;cid=429","Baltic Cup 2. etapp, TRIO")</f>
        <v>Baltic Cup 2. etapp, TRIO</v>
      </c>
      <c r="L36" s="1325"/>
      <c r="M36" s="321"/>
      <c r="N36" s="124"/>
      <c r="P36" s="207"/>
    </row>
    <row r="37" spans="1:20" ht="13.5" customHeight="1" thickBot="1" x14ac:dyDescent="0.25">
      <c r="A37" s="133"/>
      <c r="B37" s="126"/>
      <c r="C37" s="804"/>
      <c r="D37" s="152"/>
      <c r="E37" s="1390"/>
      <c r="F37" s="163"/>
      <c r="G37" s="148"/>
      <c r="H37" s="126"/>
      <c r="I37" s="125"/>
      <c r="J37" s="126"/>
      <c r="K37" s="1218" t="str">
        <f>HYPERLINK("http://petanque.lv/events/113/baltic-cup/","Zaķumuiža (Läti)")</f>
        <v>Zaķumuiža (Läti)</v>
      </c>
      <c r="L37" s="1169" t="str">
        <f>HYPERLINK("http://petanque.lv/events/113/baltic-cup/","inf")</f>
        <v>inf</v>
      </c>
      <c r="M37" s="116"/>
      <c r="N37" s="126"/>
      <c r="P37" s="207"/>
    </row>
    <row r="38" spans="1:20" s="7" customFormat="1" x14ac:dyDescent="0.2">
      <c r="A38" s="127"/>
      <c r="B38" s="1180">
        <v>20</v>
      </c>
      <c r="C38" s="129"/>
      <c r="D38" s="1180">
        <v>21</v>
      </c>
      <c r="E38" s="806" t="s">
        <v>619</v>
      </c>
      <c r="F38" s="1180">
        <v>22</v>
      </c>
      <c r="G38" s="139"/>
      <c r="H38" s="1183">
        <v>23</v>
      </c>
      <c r="I38" s="130"/>
      <c r="J38" s="1183">
        <v>24</v>
      </c>
      <c r="K38" s="799" t="str">
        <f>HYPERLINK("http://www.petanque.ee/index.php?id=103589&amp;cid=470","Saku jaaniturniir, ")</f>
        <v xml:space="preserve">Saku jaaniturniir, </v>
      </c>
      <c r="L38" s="1180">
        <v>25</v>
      </c>
      <c r="M38" s="127"/>
      <c r="N38" s="1180">
        <v>26</v>
      </c>
      <c r="P38" s="207"/>
    </row>
    <row r="39" spans="1:20" s="7" customFormat="1" x14ac:dyDescent="0.2">
      <c r="A39" s="131"/>
      <c r="B39" s="124"/>
      <c r="C39" s="721"/>
      <c r="D39" s="165"/>
      <c r="E39" s="788" t="s">
        <v>623</v>
      </c>
      <c r="F39" s="300"/>
      <c r="G39" s="135"/>
      <c r="H39" s="124"/>
      <c r="I39" s="24"/>
      <c r="J39" s="124"/>
      <c r="K39" s="211" t="s">
        <v>396</v>
      </c>
      <c r="L39" s="124"/>
      <c r="M39" s="211"/>
      <c r="N39" s="124"/>
      <c r="P39" s="207"/>
    </row>
    <row r="40" spans="1:20" ht="13.5" thickBot="1" x14ac:dyDescent="0.25">
      <c r="A40" s="133"/>
      <c r="B40" s="126"/>
      <c r="C40" s="25"/>
      <c r="D40" s="628"/>
      <c r="E40" s="807" t="str">
        <f>HYPERLINK("http://kaart.delfi.ee/?bookmark=63ebb20d0f5732aa12acf360e2b986df","Voka")</f>
        <v>Voka</v>
      </c>
      <c r="F40" s="213"/>
      <c r="G40" s="137"/>
      <c r="H40" s="140"/>
      <c r="I40" s="125"/>
      <c r="J40" s="140"/>
      <c r="K40" s="800" t="str">
        <f>HYPERLINK("http://kaart.delfi.ee//?bookmark=36ee67ba7cba151859305c222805d114","Saku")</f>
        <v>Saku</v>
      </c>
      <c r="L40" s="126"/>
      <c r="M40" s="133"/>
      <c r="N40" s="126"/>
      <c r="P40" s="207"/>
    </row>
    <row r="41" spans="1:20" ht="13.5" thickBot="1" x14ac:dyDescent="0.25">
      <c r="A41" s="141"/>
      <c r="B41" s="1182">
        <v>27</v>
      </c>
      <c r="C41" s="142"/>
      <c r="D41" s="1182">
        <v>28</v>
      </c>
      <c r="E41" s="117"/>
      <c r="F41" s="1182">
        <v>29</v>
      </c>
      <c r="G41" s="303" t="str">
        <f>HYPERLINK("#5!J1","I-Virumaa MV, ")</f>
        <v xml:space="preserve">I-Virumaa MV, </v>
      </c>
      <c r="H41" s="1182">
        <v>30</v>
      </c>
      <c r="I41" s="24"/>
      <c r="J41" s="23"/>
      <c r="K41" s="26"/>
      <c r="L41" s="24"/>
      <c r="M41" s="104"/>
      <c r="N41" s="24"/>
      <c r="P41" s="207"/>
    </row>
    <row r="42" spans="1:20" s="7" customFormat="1" x14ac:dyDescent="0.2">
      <c r="A42" s="145"/>
      <c r="B42" s="124"/>
      <c r="C42" s="26"/>
      <c r="D42" s="124"/>
      <c r="E42" s="214"/>
      <c r="F42" s="146"/>
      <c r="G42" s="304" t="s">
        <v>134</v>
      </c>
      <c r="H42" s="162"/>
      <c r="I42" s="164"/>
      <c r="J42" s="1182">
        <v>1</v>
      </c>
      <c r="K42" s="792" t="str">
        <f>HYPERLINK("http://www.petanque.ee/index.php?id=103738&amp;cid=431","24.Eesti valdade suve-")</f>
        <v>24.Eesti valdade suve-</v>
      </c>
      <c r="L42" s="1184">
        <v>2</v>
      </c>
      <c r="M42" s="1220" t="str">
        <f>HYPERLINK("http://www.petanque.ee/index.php?id=103589&amp;cid=468","EM katsevõistlused ")</f>
        <v xml:space="preserve">EM katsevõistlused </v>
      </c>
      <c r="N42" s="1184">
        <v>3</v>
      </c>
      <c r="P42" s="207"/>
    </row>
    <row r="43" spans="1:20" s="7" customFormat="1" ht="13.5" thickBot="1" x14ac:dyDescent="0.25">
      <c r="A43" s="150"/>
      <c r="B43" s="151"/>
      <c r="C43" s="160"/>
      <c r="D43" s="151"/>
      <c r="E43" s="118"/>
      <c r="F43" s="147"/>
      <c r="G43" s="871" t="str">
        <f>HYPERLINK("http://kaart.delfi.ee//?bookmark=8f83f1ab972c63fecc107285cdd50a9f","K-Nõmme")</f>
        <v>K-Nõmme</v>
      </c>
      <c r="H43" s="376"/>
      <c r="K43" s="211" t="s">
        <v>408</v>
      </c>
      <c r="L43" s="146"/>
      <c r="M43" s="1221" t="s">
        <v>297</v>
      </c>
      <c r="N43" s="146"/>
      <c r="P43" s="207"/>
    </row>
    <row r="44" spans="1:20" s="7" customFormat="1" x14ac:dyDescent="0.2">
      <c r="A44" s="378" t="s">
        <v>95</v>
      </c>
      <c r="B44" s="379"/>
      <c r="C44" s="380"/>
      <c r="D44" s="144"/>
      <c r="E44" s="117"/>
      <c r="F44" s="144"/>
      <c r="G44" s="117"/>
      <c r="H44" s="143"/>
      <c r="I44" s="167"/>
      <c r="J44" s="124"/>
      <c r="K44" s="1334" t="s">
        <v>120</v>
      </c>
      <c r="L44" s="1335" t="str">
        <f>HYPERLINK("http://www.joud.ee/est/g78s3798","inf")</f>
        <v>inf</v>
      </c>
      <c r="M44" s="321"/>
      <c r="N44" s="146"/>
      <c r="P44" s="207"/>
    </row>
    <row r="45" spans="1:20" s="7" customFormat="1" x14ac:dyDescent="0.2">
      <c r="A45" s="373"/>
      <c r="I45" s="167"/>
      <c r="J45" s="124"/>
      <c r="K45" s="1336" t="str">
        <f>HYPERLINK("http://www.petanque.ee/index.php?id=103738&amp;cid=430","41. Eesti linnade suve-")</f>
        <v>41. Eesti linnade suve-</v>
      </c>
      <c r="L45" s="1337"/>
      <c r="M45" s="505"/>
      <c r="N45" s="146"/>
      <c r="P45" s="207"/>
    </row>
    <row r="46" spans="1:20" s="7" customFormat="1" x14ac:dyDescent="0.2">
      <c r="A46" s="26"/>
      <c r="B46" s="24"/>
      <c r="C46" s="26"/>
      <c r="D46" s="24"/>
      <c r="E46" s="214"/>
      <c r="F46" s="24"/>
      <c r="G46" s="214"/>
      <c r="H46" s="24"/>
      <c r="I46" s="167"/>
      <c r="J46" s="124"/>
      <c r="K46" s="211" t="s">
        <v>408</v>
      </c>
      <c r="L46" s="146"/>
      <c r="M46" s="505"/>
      <c r="N46" s="146"/>
      <c r="P46" s="207"/>
    </row>
    <row r="47" spans="1:20" ht="13.5" thickBot="1" x14ac:dyDescent="0.25">
      <c r="A47" s="25"/>
      <c r="B47" s="125"/>
      <c r="C47" s="25"/>
      <c r="D47" s="125"/>
      <c r="E47" s="25"/>
      <c r="F47" s="125"/>
      <c r="G47" s="125"/>
      <c r="H47" s="125"/>
      <c r="I47" s="374"/>
      <c r="J47" s="126"/>
      <c r="K47" s="808" t="s">
        <v>121</v>
      </c>
      <c r="L47" s="984" t="str">
        <f>HYPERLINK("http://www.joud.ee/est/g78s3808","inf")</f>
        <v>inf</v>
      </c>
      <c r="M47" s="375"/>
      <c r="N47" s="146"/>
      <c r="P47" s="207"/>
      <c r="Q47" s="7"/>
      <c r="R47" s="7"/>
      <c r="S47" s="7"/>
      <c r="T47" s="7"/>
    </row>
    <row r="48" spans="1:20" s="7" customFormat="1" x14ac:dyDescent="0.2">
      <c r="A48" s="145"/>
      <c r="B48" s="1181">
        <v>4</v>
      </c>
      <c r="C48" s="813" t="str">
        <f>HYPERLINK("#M3!I1","Mäetaguse 7. ")</f>
        <v xml:space="preserve">Mäetaguse 7. </v>
      </c>
      <c r="D48" s="1181">
        <v>5</v>
      </c>
      <c r="E48" s="784" t="s">
        <v>619</v>
      </c>
      <c r="F48" s="1181">
        <v>6</v>
      </c>
      <c r="G48" s="814" t="str">
        <f>HYPERLINK("#6!J1","Jõhvi 16. MV, ")</f>
        <v xml:space="preserve">Jõhvi 16. MV, </v>
      </c>
      <c r="H48" s="1181">
        <v>7</v>
      </c>
      <c r="I48" s="214"/>
      <c r="J48" s="1181">
        <v>8</v>
      </c>
      <c r="K48" s="779" t="str">
        <f>HYPERLINK("http://www.petanque.ee/index.php?id=103738&amp;cid=432","19. Eesti MV, ")</f>
        <v xml:space="preserve">19. Eesti MV, </v>
      </c>
      <c r="L48" s="1184">
        <v>9</v>
      </c>
      <c r="M48" s="809" t="str">
        <f>HYPERLINK("http://www.petanque.ee/index.php?id=103738&amp;cid=433","EPKL reiting, ")</f>
        <v xml:space="preserve">EPKL reiting, </v>
      </c>
      <c r="N48" s="1184">
        <v>10</v>
      </c>
      <c r="P48" s="208"/>
    </row>
    <row r="49" spans="1:20" s="7" customFormat="1" x14ac:dyDescent="0.2">
      <c r="A49" s="145"/>
      <c r="B49" s="124"/>
      <c r="C49" s="804" t="s">
        <v>632</v>
      </c>
      <c r="D49" s="136"/>
      <c r="E49" s="784" t="s">
        <v>624</v>
      </c>
      <c r="F49" s="212"/>
      <c r="G49" s="815" t="s">
        <v>118</v>
      </c>
      <c r="H49" s="132"/>
      <c r="I49" s="110"/>
      <c r="J49" s="124"/>
      <c r="K49" s="111" t="s">
        <v>122</v>
      </c>
      <c r="L49" s="146"/>
      <c r="M49" s="810" t="s">
        <v>117</v>
      </c>
      <c r="N49" s="146"/>
      <c r="P49" s="207"/>
    </row>
    <row r="50" spans="1:20" s="7" customFormat="1" ht="13.5" thickBot="1" x14ac:dyDescent="0.25">
      <c r="A50" s="150"/>
      <c r="B50" s="151"/>
      <c r="C50" s="786" t="str">
        <f>HYPERLINK("http://kaart.delfi.ee/?bookmark=96e8ef31375c7e6041cd302dca543f69","Mäetaguse")</f>
        <v>Mäetaguse</v>
      </c>
      <c r="D50" s="152"/>
      <c r="E50" s="314" t="str">
        <f>HYPERLINK("http://kaart.delfi.ee/?bookmark=63ebb20d0f5732aa12acf360e2b986df","Voka")</f>
        <v>Voka</v>
      </c>
      <c r="F50" s="298"/>
      <c r="G50" s="816" t="str">
        <f>HYPERLINK("http://kaart.delfi.ee/?bookmark=4c0b1b0c24ff9f4919899a9546bf50f1","Jõhvi, Neptun")</f>
        <v>Jõhvi, Neptun</v>
      </c>
      <c r="H50" s="134"/>
      <c r="I50" s="118"/>
      <c r="J50" s="126"/>
      <c r="K50" s="1269" t="str">
        <f>HYPERLINK("http://kaart.delfi.ee/?bookmark=037591353bf9698628b723dab6c5e799","Valga")</f>
        <v>Valga</v>
      </c>
      <c r="L50" s="147"/>
      <c r="M50" s="811" t="str">
        <f>HYPERLINK("http://kaart.delfi.ee/?bookmark=037591353bf9698628b723dab6c5e799","Valga")</f>
        <v>Valga</v>
      </c>
      <c r="N50" s="147"/>
      <c r="P50" s="207"/>
    </row>
    <row r="51" spans="1:20" s="7" customFormat="1" x14ac:dyDescent="0.2">
      <c r="A51" s="145"/>
      <c r="B51" s="1181">
        <v>11</v>
      </c>
      <c r="C51" s="26"/>
      <c r="D51" s="1181">
        <v>12</v>
      </c>
      <c r="E51" s="214"/>
      <c r="F51" s="1181">
        <v>13</v>
      </c>
      <c r="G51" s="127"/>
      <c r="H51" s="1180">
        <v>14</v>
      </c>
      <c r="I51" s="24"/>
      <c r="J51" s="1181">
        <v>15</v>
      </c>
      <c r="K51" s="779" t="str">
        <f>HYPERLINK("http://www.petanque.ee/index.php?id=103738&amp;cid=434","26. Eesti MV, ")</f>
        <v xml:space="preserve">26. Eesti MV, </v>
      </c>
      <c r="L51" s="1184">
        <v>16</v>
      </c>
      <c r="M51" s="809" t="str">
        <f>HYPERLINK("http://www.petanque.ee/index.php?id=103738&amp;cid=435","EPKL reiting, ")</f>
        <v xml:space="preserve">EPKL reiting, </v>
      </c>
      <c r="N51" s="1185">
        <v>17</v>
      </c>
      <c r="P51" s="208"/>
    </row>
    <row r="52" spans="1:20" s="7" customFormat="1" x14ac:dyDescent="0.2">
      <c r="A52" s="145"/>
      <c r="B52" s="124"/>
      <c r="C52" s="26"/>
      <c r="D52" s="124"/>
      <c r="E52" s="214"/>
      <c r="F52" s="124"/>
      <c r="G52" s="131"/>
      <c r="H52" s="124"/>
      <c r="I52" s="24"/>
      <c r="J52" s="124"/>
      <c r="K52" s="111" t="s">
        <v>118</v>
      </c>
      <c r="L52" s="146"/>
      <c r="M52" s="810" t="s">
        <v>117</v>
      </c>
      <c r="N52" s="146"/>
      <c r="P52" s="207"/>
    </row>
    <row r="53" spans="1:20" ht="13.5" thickBot="1" x14ac:dyDescent="0.25">
      <c r="A53" s="154"/>
      <c r="B53" s="126"/>
      <c r="C53" s="25"/>
      <c r="D53" s="126"/>
      <c r="E53" s="133"/>
      <c r="F53" s="126"/>
      <c r="G53" s="133"/>
      <c r="H53" s="126"/>
      <c r="I53" s="125"/>
      <c r="J53" s="126"/>
      <c r="K53" s="795" t="str">
        <f>HYPERLINK("http://kaart.delfi.ee/?bookmark=0eb4bf4e7fb4b30009b7d7543818abd1","Kärdla")</f>
        <v>Kärdla</v>
      </c>
      <c r="L53" s="155"/>
      <c r="M53" s="812" t="str">
        <f>HYPERLINK("http://kaart.delfi.ee/?bookmark=0eb4bf4e7fb4b30009b7d7543818abd1","Kärdla")</f>
        <v>Kärdla</v>
      </c>
      <c r="N53" s="155"/>
      <c r="P53" s="207"/>
      <c r="Q53" s="7"/>
      <c r="R53" s="7"/>
      <c r="S53" s="7"/>
      <c r="T53" s="7"/>
    </row>
    <row r="54" spans="1:20" s="7" customFormat="1" x14ac:dyDescent="0.2">
      <c r="A54" s="145"/>
      <c r="B54" s="1180">
        <v>18</v>
      </c>
      <c r="C54" s="127"/>
      <c r="D54" s="1180">
        <v>19</v>
      </c>
      <c r="E54" s="817" t="s">
        <v>619</v>
      </c>
      <c r="F54" s="1180">
        <v>20</v>
      </c>
      <c r="G54" s="303" t="str">
        <f>HYPERLINK("#7!J1","Jõhvi 14. MV, ")</f>
        <v xml:space="preserve">Jõhvi 14. MV, </v>
      </c>
      <c r="H54" s="1180">
        <v>21</v>
      </c>
      <c r="I54" s="139"/>
      <c r="J54" s="1181">
        <v>22</v>
      </c>
      <c r="K54" s="1222" t="str">
        <f>HYPERLINK("http://www.petanque.ee/index.php?id=103738&amp;cid=436","Baltic Cup 3. etapp, ")</f>
        <v xml:space="preserve">Baltic Cup 3. etapp, </v>
      </c>
      <c r="L54" s="1184">
        <v>23</v>
      </c>
      <c r="M54" s="809" t="str">
        <f>HYPERLINK("http://www.petanque.ee/index.php?id=103738&amp;cid=437","16. Eesti MV, ")</f>
        <v xml:space="preserve">16. Eesti MV, </v>
      </c>
      <c r="N54" s="1184">
        <v>24</v>
      </c>
      <c r="P54" s="208"/>
    </row>
    <row r="55" spans="1:20" s="7" customFormat="1" x14ac:dyDescent="0.2">
      <c r="A55" s="145"/>
      <c r="B55" s="124"/>
      <c r="C55" s="131"/>
      <c r="D55" s="124"/>
      <c r="E55" s="963" t="s">
        <v>629</v>
      </c>
      <c r="F55" s="212"/>
      <c r="G55" s="818" t="s">
        <v>117</v>
      </c>
      <c r="H55" s="132"/>
      <c r="I55" s="135"/>
      <c r="J55" s="24"/>
      <c r="K55" s="1223" t="s">
        <v>117</v>
      </c>
      <c r="L55" s="146"/>
      <c r="M55" s="810" t="s">
        <v>29</v>
      </c>
      <c r="N55" s="146"/>
      <c r="P55" s="207"/>
    </row>
    <row r="56" spans="1:20" ht="13.5" thickBot="1" x14ac:dyDescent="0.25">
      <c r="A56" s="156"/>
      <c r="B56" s="157"/>
      <c r="C56" s="133"/>
      <c r="D56" s="158"/>
      <c r="E56" s="314" t="str">
        <f>HYPERLINK("http://kaart.delfi.ee/?bookmark=63ebb20d0f5732aa12acf360e2b986df","Voka")</f>
        <v>Voka</v>
      </c>
      <c r="F56" s="213"/>
      <c r="G56" s="816" t="str">
        <f>HYPERLINK("http://kaart.delfi.ee/?bookmark=4c0b1b0c24ff9f4919899a9546bf50f1","Jõhvi, Neptun")</f>
        <v>Jõhvi, Neptun</v>
      </c>
      <c r="H56" s="159"/>
      <c r="I56" s="133"/>
      <c r="J56" s="160"/>
      <c r="K56" s="1235" t="str">
        <f>HYPERLINK("http://kaart.delfi.ee/?bookmark=037591353bf9698628b723dab6c5e799","Valga")</f>
        <v>Valga</v>
      </c>
      <c r="L56" s="163"/>
      <c r="M56" s="1270" t="str">
        <f>HYPERLINK("http://kaart.delfi.ee/?bookmark=0807568cf7d8a03cedbb545921254497","Tallinna petangihall")</f>
        <v>Tallinna petangihall</v>
      </c>
      <c r="N56" s="147"/>
      <c r="P56" s="207"/>
      <c r="Q56" s="7"/>
      <c r="R56" s="7"/>
      <c r="S56" s="7"/>
      <c r="T56" s="7"/>
    </row>
    <row r="57" spans="1:20" s="7" customFormat="1" x14ac:dyDescent="0.2">
      <c r="A57" s="161"/>
      <c r="B57" s="1180">
        <v>25</v>
      </c>
      <c r="C57" s="129"/>
      <c r="D57" s="1180">
        <v>26</v>
      </c>
      <c r="E57" s="127"/>
      <c r="F57" s="1180">
        <v>27</v>
      </c>
      <c r="G57" s="127"/>
      <c r="H57" s="1180">
        <v>28</v>
      </c>
      <c r="I57" s="110"/>
      <c r="J57" s="1180">
        <v>29</v>
      </c>
      <c r="K57" s="1224" t="str">
        <f>HYPERLINK("https://www.facebook.com/events/278277315858546/","1. Saku Open, TRIO")</f>
        <v>1. Saku Open, TRIO</v>
      </c>
      <c r="L57" s="1186">
        <v>30</v>
      </c>
      <c r="M57" s="819" t="str">
        <f>HYPERLINK("#8!J1","Jõhvi 16. MV, ÜKSIK")</f>
        <v>Jõhvi 16. MV, ÜKSIK</v>
      </c>
      <c r="N57" s="1186">
        <v>31</v>
      </c>
      <c r="P57" s="207"/>
    </row>
    <row r="58" spans="1:20" s="7" customFormat="1" hidden="1" x14ac:dyDescent="0.2">
      <c r="A58" s="145"/>
      <c r="B58" s="124"/>
      <c r="C58" s="26"/>
      <c r="D58" s="124"/>
      <c r="E58" s="131"/>
      <c r="F58" s="124"/>
      <c r="G58" s="131"/>
      <c r="H58" s="124"/>
      <c r="I58" s="110"/>
      <c r="J58" s="124"/>
      <c r="K58" s="1225" t="s">
        <v>117</v>
      </c>
      <c r="L58" s="146"/>
      <c r="M58" s="820" t="s">
        <v>134</v>
      </c>
      <c r="N58" s="162"/>
      <c r="P58" s="207"/>
    </row>
    <row r="59" spans="1:20" s="7" customFormat="1" x14ac:dyDescent="0.2">
      <c r="A59" s="145"/>
      <c r="B59" s="124"/>
      <c r="C59" s="26"/>
      <c r="D59" s="124"/>
      <c r="E59" s="131"/>
      <c r="F59" s="124"/>
      <c r="G59" s="131"/>
      <c r="H59" s="124"/>
      <c r="I59" s="1334"/>
      <c r="J59" s="1327"/>
      <c r="K59" s="1338" t="str">
        <f>HYPERLINK("http://kaart.delfi.ee//?bookmark=36ee67ba7cba151859305c222805d114","Saku")</f>
        <v>Saku</v>
      </c>
      <c r="L59" s="1339"/>
      <c r="M59" s="1340" t="str">
        <f>HYPERLINK("http://kaart.delfi.ee/?bookmark=4c0b1b0c24ff9f4919899a9546bf50f1","Jõhvi, Neptun")</f>
        <v>Jõhvi, Neptun</v>
      </c>
      <c r="N59" s="1341"/>
      <c r="P59" s="207"/>
    </row>
    <row r="60" spans="1:20" s="7" customFormat="1" x14ac:dyDescent="0.2">
      <c r="A60" s="145"/>
      <c r="B60" s="124"/>
      <c r="C60" s="26"/>
      <c r="D60" s="124"/>
      <c r="E60" s="131"/>
      <c r="F60" s="124"/>
      <c r="G60" s="131"/>
      <c r="H60" s="124"/>
      <c r="I60" s="1342" t="s">
        <v>131</v>
      </c>
      <c r="J60" s="1343"/>
      <c r="K60" s="1344" t="str">
        <f>HYPERLINK("http://www.petanque.ee/index.php?id=103738&amp;cid=438","19. EuroCup DUO, TRIO")</f>
        <v>19. EuroCup DUO, TRIO</v>
      </c>
      <c r="L60" s="1343"/>
      <c r="M60" s="1345" t="s">
        <v>131</v>
      </c>
      <c r="N60" s="1346"/>
      <c r="P60" s="207"/>
    </row>
    <row r="61" spans="1:20" ht="13.5" thickBot="1" x14ac:dyDescent="0.25">
      <c r="A61" s="150"/>
      <c r="B61" s="151"/>
      <c r="C61" s="160"/>
      <c r="D61" s="151"/>
      <c r="E61" s="153"/>
      <c r="F61" s="151"/>
      <c r="G61" s="153"/>
      <c r="H61" s="151"/>
      <c r="I61" s="1347" t="s">
        <v>448</v>
      </c>
      <c r="J61" s="1348"/>
      <c r="K61" s="1282" t="str">
        <f>HYPERLINK("https://www.google.ee/maps/dir/49.4864267,5.9753442/@49.486336,5.9753791,524m/data=!3m1!1e3!4m2!4m1!3e0","Kvalifikats. Luxembourg")</f>
        <v>Kvalifikats. Luxembourg</v>
      </c>
      <c r="L61" s="1349"/>
      <c r="M61" s="1350" t="s">
        <v>449</v>
      </c>
      <c r="N61" s="1351" t="str">
        <f>HYPERLINK("http://www.petanque.ee/index.php?id=&amp;news_id=1097","inf")</f>
        <v>inf</v>
      </c>
      <c r="P61" s="207"/>
      <c r="Q61" s="7"/>
      <c r="R61" s="7"/>
      <c r="S61" s="7"/>
      <c r="T61" s="7"/>
    </row>
    <row r="62" spans="1:20" ht="13.5" thickBot="1" x14ac:dyDescent="0.25">
      <c r="A62" s="180" t="s">
        <v>96</v>
      </c>
      <c r="B62" s="178"/>
      <c r="C62" s="181"/>
      <c r="D62" s="23"/>
      <c r="E62" s="26"/>
      <c r="F62" s="24"/>
      <c r="G62" s="26"/>
      <c r="H62" s="23"/>
      <c r="I62" s="24"/>
      <c r="J62" s="23"/>
      <c r="K62" s="26"/>
      <c r="L62" s="24"/>
      <c r="M62" s="26"/>
      <c r="N62" s="24"/>
      <c r="P62" s="207"/>
      <c r="Q62" s="7"/>
      <c r="R62" s="7"/>
      <c r="S62" s="7"/>
      <c r="T62" s="7"/>
    </row>
    <row r="63" spans="1:20" s="7" customFormat="1" x14ac:dyDescent="0.2">
      <c r="A63" s="141"/>
      <c r="B63" s="1182">
        <v>1</v>
      </c>
      <c r="C63" s="142"/>
      <c r="D63" s="1182">
        <v>2</v>
      </c>
      <c r="E63" s="962" t="s">
        <v>619</v>
      </c>
      <c r="F63" s="1182">
        <v>3</v>
      </c>
      <c r="G63" s="205"/>
      <c r="H63" s="1182">
        <v>4</v>
      </c>
      <c r="I63" s="144"/>
      <c r="J63" s="1182">
        <v>5</v>
      </c>
      <c r="K63" s="792" t="str">
        <f>HYPERLINK("http://www.petanque.ee/index.php?id=103738&amp;cid=441","49. ESL Spordimän- ")</f>
        <v xml:space="preserve">49. ESL Spordimän- </v>
      </c>
      <c r="L63" s="1182">
        <v>6</v>
      </c>
      <c r="M63" s="779" t="str">
        <f>HYPERLINK("http://www.petanque.ee/index.php?id=103738&amp;cid=442","EPKL reiting, ")</f>
        <v xml:space="preserve">EPKL reiting, </v>
      </c>
      <c r="N63" s="1184">
        <v>7</v>
      </c>
      <c r="P63" s="208"/>
    </row>
    <row r="64" spans="1:20" s="7" customFormat="1" x14ac:dyDescent="0.2">
      <c r="A64" s="505"/>
      <c r="B64" s="124"/>
      <c r="C64" s="721"/>
      <c r="D64" s="124"/>
      <c r="E64" s="963" t="s">
        <v>625</v>
      </c>
      <c r="F64" s="212"/>
      <c r="G64" s="111"/>
      <c r="H64" s="124"/>
      <c r="I64" s="24"/>
      <c r="J64" s="124"/>
      <c r="K64" s="211" t="s">
        <v>189</v>
      </c>
      <c r="L64" s="146"/>
      <c r="M64" s="111" t="s">
        <v>118</v>
      </c>
      <c r="N64" s="146"/>
      <c r="P64" s="207"/>
    </row>
    <row r="65" spans="1:20" ht="13.5" thickBot="1" x14ac:dyDescent="0.25">
      <c r="A65" s="505"/>
      <c r="B65" s="124"/>
      <c r="C65" s="721"/>
      <c r="D65" s="124"/>
      <c r="E65" s="314" t="str">
        <f>HYPERLINK("http://kaart.delfi.ee/?bookmark=63ebb20d0f5732aa12acf360e2b986df","Voka")</f>
        <v>Voka</v>
      </c>
      <c r="F65" s="212"/>
      <c r="G65" s="137"/>
      <c r="H65" s="147"/>
      <c r="I65" s="24"/>
      <c r="J65" s="124"/>
      <c r="K65" s="970" t="str">
        <f>HYPERLINK("http://kaart.delfi.ee//?bookmark=5a81e54c961b6d8c1e86869dd7b7595a","Haapsalu Promenaad")</f>
        <v>Haapsalu Promenaad</v>
      </c>
      <c r="L65" s="982" t="str">
        <f>HYPERLINK("http://www.laanesport.ee/49-eesti-veteranide-spordimangud-peetakse-haapsalus/","inf")</f>
        <v>inf</v>
      </c>
      <c r="M65" s="956" t="str">
        <f>HYPERLINK("http://kaart.delfi.ee/?bookmark=c3bc2d791932456b66ad8adb604010c1","Uuskalda (Läänemaa)")</f>
        <v>Uuskalda (Läänemaa)</v>
      </c>
      <c r="N65" s="163"/>
      <c r="P65" s="207"/>
      <c r="Q65" s="7"/>
      <c r="R65" s="7"/>
      <c r="S65" s="7"/>
      <c r="T65" s="7"/>
    </row>
    <row r="66" spans="1:20" s="7" customFormat="1" x14ac:dyDescent="0.2">
      <c r="A66" s="141"/>
      <c r="B66" s="1182">
        <v>8</v>
      </c>
      <c r="C66" s="142"/>
      <c r="D66" s="1182">
        <v>9</v>
      </c>
      <c r="E66" s="149"/>
      <c r="F66" s="1182">
        <v>10</v>
      </c>
      <c r="G66" s="303" t="str">
        <f>HYPERLINK("#9!J1","K-Järve 15. MV")</f>
        <v>K-Järve 15. MV</v>
      </c>
      <c r="H66" s="1180">
        <v>11</v>
      </c>
      <c r="I66" s="144"/>
      <c r="J66" s="1182">
        <v>12</v>
      </c>
      <c r="K66" s="957" t="str">
        <f>HYPERLINK("http://www.petanque.ee/index.php?id=103738&amp;cid=443","25. Eesti MV, ")</f>
        <v xml:space="preserve">25. Eesti MV, </v>
      </c>
      <c r="L66" s="1182">
        <v>13</v>
      </c>
      <c r="M66" s="957" t="str">
        <f>HYPERLINK("http://www.petanque.ee/index.php?id=103738&amp;cid=444","EPKL reiting, ")</f>
        <v xml:space="preserve">EPKL reiting, </v>
      </c>
      <c r="N66" s="1186">
        <v>14</v>
      </c>
      <c r="P66" s="208"/>
    </row>
    <row r="67" spans="1:20" s="7" customFormat="1" x14ac:dyDescent="0.2">
      <c r="A67" s="505"/>
      <c r="B67" s="124"/>
      <c r="C67" s="721"/>
      <c r="D67" s="124"/>
      <c r="E67" s="211"/>
      <c r="F67" s="124"/>
      <c r="G67" s="302" t="s">
        <v>117</v>
      </c>
      <c r="H67" s="132"/>
      <c r="I67" s="24"/>
      <c r="J67" s="124"/>
      <c r="K67" s="111" t="s">
        <v>117</v>
      </c>
      <c r="L67" s="124"/>
      <c r="M67" s="111" t="s">
        <v>638</v>
      </c>
      <c r="N67" s="146"/>
      <c r="P67" s="207"/>
    </row>
    <row r="68" spans="1:20" ht="13.5" thickBot="1" x14ac:dyDescent="0.25">
      <c r="A68" s="150"/>
      <c r="B68" s="151"/>
      <c r="C68" s="160"/>
      <c r="D68" s="151"/>
      <c r="E68" s="153"/>
      <c r="F68" s="151"/>
      <c r="G68" s="176" t="str">
        <f>HYPERLINK("http://kaart.delfi.ee/?bookmark=521b80d6ceeefbe3e5d227267242b576","K-Järve")</f>
        <v>K-Järve</v>
      </c>
      <c r="H68" s="134"/>
      <c r="I68" s="27"/>
      <c r="J68" s="151"/>
      <c r="K68" s="1271" t="str">
        <f>HYPERLINK("http://kaart.delfi.ee/?bookmark=521b80d6ceeefbe3e5d227267242b576","K-Järve")</f>
        <v>K-Järve</v>
      </c>
      <c r="L68" s="678"/>
      <c r="M68" s="958" t="str">
        <f>HYPERLINK("http://kaart.delfi.ee/?bookmark=521b80d6ceeefbe3e5d227267242b576","K-Järve")</f>
        <v>K-Järve</v>
      </c>
      <c r="N68" s="138"/>
      <c r="P68" s="207"/>
      <c r="Q68" s="7"/>
      <c r="R68" s="7"/>
      <c r="S68" s="7"/>
      <c r="T68" s="7"/>
    </row>
    <row r="69" spans="1:20" s="7" customFormat="1" x14ac:dyDescent="0.2">
      <c r="A69" s="505"/>
      <c r="B69" s="1181">
        <v>15</v>
      </c>
      <c r="C69" s="721"/>
      <c r="D69" s="1181">
        <v>16</v>
      </c>
      <c r="E69" s="1205" t="s">
        <v>619</v>
      </c>
      <c r="F69" s="1181">
        <v>17</v>
      </c>
      <c r="G69" s="964"/>
      <c r="H69" s="1186">
        <v>18</v>
      </c>
      <c r="I69" s="164"/>
      <c r="J69" s="1181">
        <v>19</v>
      </c>
      <c r="K69" s="959" t="str">
        <f>HYPERLINK("http://www.petanque.ee/index.php?id=103738&amp;cid=445","5. Valge Daami turniir,")</f>
        <v>5. Valge Daami turniir,</v>
      </c>
      <c r="L69" s="1183">
        <v>20</v>
      </c>
      <c r="M69" s="959" t="str">
        <f>HYPERLINK("http://www.petanque.ee/index.php?id=103738&amp;cid=446","5. Valge Daami turniir,")</f>
        <v>5. Valge Daami turniir,</v>
      </c>
      <c r="N69" s="1186">
        <v>21</v>
      </c>
      <c r="P69" s="207"/>
    </row>
    <row r="70" spans="1:20" s="7" customFormat="1" x14ac:dyDescent="0.2">
      <c r="A70" s="505"/>
      <c r="B70" s="124"/>
      <c r="C70" s="721"/>
      <c r="D70" s="124"/>
      <c r="E70" s="1205" t="s">
        <v>626</v>
      </c>
      <c r="F70" s="212"/>
      <c r="H70" s="166"/>
      <c r="I70" s="167"/>
      <c r="J70" s="165"/>
      <c r="K70" s="960" t="s">
        <v>119</v>
      </c>
      <c r="L70" s="124"/>
      <c r="M70" s="960" t="s">
        <v>119</v>
      </c>
      <c r="N70" s="146"/>
      <c r="P70" s="207"/>
    </row>
    <row r="71" spans="1:20" s="7" customFormat="1" x14ac:dyDescent="0.2">
      <c r="A71" s="505"/>
      <c r="B71" s="124"/>
      <c r="C71" s="721"/>
      <c r="D71" s="124"/>
      <c r="E71" s="965" t="str">
        <f>HYPERLINK("http://kaart.delfi.ee/?bookmark=63ebb20d0f5732aa12acf360e2b986df","Voka")</f>
        <v>Voka</v>
      </c>
      <c r="F71" s="212"/>
      <c r="H71" s="166"/>
      <c r="I71" s="167"/>
      <c r="J71" s="165"/>
      <c r="K71" s="1352" t="str">
        <f>HYPERLINK("http://kaart.delfi.ee/?bookmark=c3bc2d791932456b66ad8adb604010c1","Uuskalda (Läänemaa)")</f>
        <v>Uuskalda (Läänemaa)</v>
      </c>
      <c r="L71" s="1353" t="str">
        <f>HYPERLINK("https://www.facebook.com/events/1763776397240570/","inf")</f>
        <v>inf</v>
      </c>
      <c r="M71" s="970" t="str">
        <f>HYPERLINK("http://kaart.delfi.ee/?bookmark=c3bc2d791932456b66ad8adb604010c1","Uuskalda (Läänemaa)")</f>
        <v>Uuskalda (Läänemaa)</v>
      </c>
      <c r="N71" s="146"/>
    </row>
    <row r="72" spans="1:20" s="7" customFormat="1" x14ac:dyDescent="0.2">
      <c r="A72" s="505"/>
      <c r="B72" s="124"/>
      <c r="C72" s="721"/>
      <c r="D72" s="124"/>
      <c r="E72" s="299"/>
      <c r="F72" s="212"/>
      <c r="H72" s="166"/>
      <c r="I72" s="167"/>
      <c r="J72" s="165"/>
      <c r="K72" s="1336" t="str">
        <f>HYPERLINK("http://www.petanque.ee/index.php?id=103738&amp;cid=447","7. Katariina karikas,TRIO")</f>
        <v>7. Katariina karikas,TRIO</v>
      </c>
      <c r="L72" s="1323"/>
      <c r="M72" s="211"/>
      <c r="N72" s="146"/>
    </row>
    <row r="73" spans="1:20" ht="13.5" thickBot="1" x14ac:dyDescent="0.25">
      <c r="A73" s="505"/>
      <c r="B73" s="124"/>
      <c r="C73" s="721"/>
      <c r="D73" s="124"/>
      <c r="E73" s="299"/>
      <c r="F73" s="212"/>
      <c r="G73" s="960"/>
      <c r="H73" s="147"/>
      <c r="I73" s="148"/>
      <c r="J73" s="124"/>
      <c r="K73" s="971" t="str">
        <f>HYPERLINK("http://kaart.delfi.ee//?bookmark=d9ec471bf61e0d633b7529533ca15208","Võru")</f>
        <v>Võru</v>
      </c>
      <c r="L73" s="124"/>
      <c r="M73" s="721"/>
      <c r="N73" s="146"/>
    </row>
    <row r="74" spans="1:20" s="7" customFormat="1" x14ac:dyDescent="0.2">
      <c r="A74" s="966"/>
      <c r="B74" s="1182">
        <v>22</v>
      </c>
      <c r="C74" s="174" t="str">
        <f>HYPERLINK("#M4!I1","Mäetaguse 7. ")</f>
        <v xml:space="preserve">Mäetaguse 7. </v>
      </c>
      <c r="D74" s="1182">
        <v>23</v>
      </c>
      <c r="E74" s="149"/>
      <c r="F74" s="1182">
        <v>24</v>
      </c>
      <c r="G74" s="303" t="str">
        <f>HYPERLINK("#10!J1","K-Järve 17. MV")</f>
        <v>K-Järve 17. MV</v>
      </c>
      <c r="H74" s="1182">
        <v>25</v>
      </c>
      <c r="I74" s="144"/>
      <c r="J74" s="1182">
        <v>26</v>
      </c>
      <c r="K74" s="961" t="str">
        <f>HYPERLINK("http://www.petanque.ee/index.php?id=103738&amp;cid=449","13. Klubide karikas, ")</f>
        <v xml:space="preserve">13. Klubide karikas, </v>
      </c>
      <c r="L74" s="1182">
        <v>27</v>
      </c>
      <c r="M74" s="961" t="str">
        <f>HYPERLINK("http://www.petanque.ee/index.php?id=103738&amp;cid=450","13. Klubide karikas, ")</f>
        <v xml:space="preserve">13. Klubide karikas, </v>
      </c>
      <c r="N74" s="1184">
        <v>28</v>
      </c>
    </row>
    <row r="75" spans="1:20" s="7" customFormat="1" x14ac:dyDescent="0.2">
      <c r="A75" s="967"/>
      <c r="B75" s="124"/>
      <c r="C75" s="968" t="s">
        <v>633</v>
      </c>
      <c r="D75" s="136"/>
      <c r="E75" s="211"/>
      <c r="F75" s="124"/>
      <c r="G75" s="302" t="s">
        <v>118</v>
      </c>
      <c r="H75" s="132"/>
      <c r="I75" s="24"/>
      <c r="J75" s="124"/>
      <c r="K75" s="960" t="s">
        <v>129</v>
      </c>
      <c r="L75" s="124"/>
      <c r="M75" s="960" t="s">
        <v>129</v>
      </c>
      <c r="N75" s="146"/>
    </row>
    <row r="76" spans="1:20" ht="13.5" thickBot="1" x14ac:dyDescent="0.25">
      <c r="A76" s="969"/>
      <c r="B76" s="151"/>
      <c r="C76" s="786" t="str">
        <f>HYPERLINK("http://kaart.delfi.ee/?bookmark=96e8ef31375c7e6041cd302dca543f69","Mäetaguse")</f>
        <v>Mäetaguse</v>
      </c>
      <c r="D76" s="152"/>
      <c r="E76" s="153"/>
      <c r="F76" s="151"/>
      <c r="G76" s="176" t="str">
        <f>HYPERLINK("http://kaart.delfi.ee/?bookmark=521b80d6ceeefbe3e5d227267242b576","K-Järve")</f>
        <v>K-Järve</v>
      </c>
      <c r="H76" s="134"/>
      <c r="I76" s="27"/>
      <c r="J76" s="151"/>
      <c r="K76" s="800" t="str">
        <f>HYPERLINK("http://kaart.delfi.ee//?bookmark=36ee67ba7cba151859305c222805d114","Saku")</f>
        <v>Saku</v>
      </c>
      <c r="L76" s="151"/>
      <c r="M76" s="800" t="str">
        <f>HYPERLINK("http://kaart.delfi.ee//?bookmark=36ee67ba7cba151859305c222805d114","Saku")</f>
        <v>Saku</v>
      </c>
      <c r="N76" s="147"/>
    </row>
    <row r="77" spans="1:20" ht="13.5" thickBot="1" x14ac:dyDescent="0.25">
      <c r="A77" s="177" t="s">
        <v>97</v>
      </c>
      <c r="B77" s="178"/>
      <c r="C77" s="181"/>
      <c r="D77" s="24"/>
      <c r="E77" s="26"/>
      <c r="F77" s="24"/>
      <c r="G77" s="26"/>
      <c r="H77" s="23"/>
      <c r="I77" s="24"/>
      <c r="J77" s="23"/>
      <c r="K77" s="26"/>
      <c r="L77" s="24"/>
      <c r="M77" s="104"/>
      <c r="N77" s="24"/>
    </row>
    <row r="78" spans="1:20" x14ac:dyDescent="0.2">
      <c r="A78" s="127"/>
      <c r="B78" s="1180">
        <v>29</v>
      </c>
      <c r="C78" s="129"/>
      <c r="D78" s="1180">
        <v>30</v>
      </c>
      <c r="E78" s="127"/>
      <c r="F78" s="1180">
        <v>31</v>
      </c>
      <c r="G78" s="108"/>
      <c r="H78" s="1180">
        <v>1</v>
      </c>
      <c r="I78" s="130"/>
      <c r="J78" s="1180">
        <v>2</v>
      </c>
      <c r="K78" s="1215" t="str">
        <f>HYPERLINK("http://www.petanque.ee/index.php?id=103738&amp;cid=451","23. Eesti-Soome ")</f>
        <v xml:space="preserve">23. Eesti-Soome </v>
      </c>
      <c r="L78" s="1180">
        <v>3</v>
      </c>
      <c r="M78" s="127"/>
      <c r="N78" s="1180">
        <v>4</v>
      </c>
    </row>
    <row r="79" spans="1:20" x14ac:dyDescent="0.2">
      <c r="A79" s="131"/>
      <c r="B79" s="124"/>
      <c r="C79" s="26"/>
      <c r="D79" s="124"/>
      <c r="E79" s="211"/>
      <c r="F79" s="124"/>
      <c r="G79" s="119"/>
      <c r="H79" s="124"/>
      <c r="I79" s="24"/>
      <c r="J79" s="124"/>
      <c r="K79" s="1216" t="s">
        <v>135</v>
      </c>
      <c r="L79" s="1167" t="str">
        <f>HYPERLINK("http://www.petanquefinland.com/kilpailut-ja-tapahtumat/suomi-viro-maaottelut/2016/","tul")</f>
        <v>tul</v>
      </c>
      <c r="M79" s="26"/>
      <c r="N79" s="124"/>
    </row>
    <row r="80" spans="1:20" ht="13.5" thickBot="1" x14ac:dyDescent="0.25">
      <c r="A80" s="131"/>
      <c r="B80" s="124"/>
      <c r="C80" s="26"/>
      <c r="D80" s="124"/>
      <c r="E80" s="131"/>
      <c r="F80" s="124"/>
      <c r="G80" s="26"/>
      <c r="H80" s="124"/>
      <c r="I80" s="24"/>
      <c r="J80" s="124"/>
      <c r="K80" s="1226" t="str">
        <f>HYPERLINK("https://www.google.com/maps/dir/60.1955816,24.9359298/60.1948296,24.9330223/@60.1958625,24.9317434,401m/am=t/data=!3m2!1e3!4b1!4m2!4m1!3e0?hl=en","Helsingi (Soome)")</f>
        <v>Helsingi (Soome)</v>
      </c>
      <c r="L80" s="1162" t="str">
        <f>HYPERLINK("http://www.petanquefinland.com/?x440335=549288","inf")</f>
        <v>inf</v>
      </c>
      <c r="M80" s="26"/>
      <c r="N80" s="124"/>
    </row>
    <row r="81" spans="1:20" x14ac:dyDescent="0.2">
      <c r="A81" s="127"/>
      <c r="B81" s="1180">
        <v>5</v>
      </c>
      <c r="C81" s="129"/>
      <c r="D81" s="1180">
        <v>6</v>
      </c>
      <c r="E81" s="1206" t="s">
        <v>619</v>
      </c>
      <c r="F81" s="1180">
        <v>7</v>
      </c>
      <c r="G81" s="206"/>
      <c r="H81" s="1180">
        <v>8</v>
      </c>
      <c r="I81" s="113"/>
      <c r="J81" s="1180">
        <v>9</v>
      </c>
      <c r="K81" s="113"/>
      <c r="L81" s="1180">
        <v>10</v>
      </c>
      <c r="M81" s="303" t="str">
        <f>HYPERLINK("#11!J1","I-Virumaa MV, ")</f>
        <v xml:space="preserve">I-Virumaa MV, </v>
      </c>
      <c r="N81" s="1180">
        <v>11</v>
      </c>
    </row>
    <row r="82" spans="1:20" x14ac:dyDescent="0.2">
      <c r="A82" s="131"/>
      <c r="B82" s="124"/>
      <c r="C82" s="26"/>
      <c r="D82" s="124"/>
      <c r="E82" s="1205" t="s">
        <v>627</v>
      </c>
      <c r="F82" s="212"/>
      <c r="G82" s="114"/>
      <c r="H82" s="124"/>
      <c r="I82" s="110"/>
      <c r="J82" s="124"/>
      <c r="K82" s="110"/>
      <c r="L82" s="124"/>
      <c r="M82" s="304" t="s">
        <v>118</v>
      </c>
      <c r="N82" s="209"/>
    </row>
    <row r="83" spans="1:20" x14ac:dyDescent="0.2">
      <c r="A83" s="131"/>
      <c r="B83" s="124"/>
      <c r="C83" s="26"/>
      <c r="D83" s="124"/>
      <c r="E83" s="965" t="str">
        <f>HYPERLINK("http://kaart.delfi.ee/?bookmark=63ebb20d0f5732aa12acf360e2b986df","Voka")</f>
        <v>Voka</v>
      </c>
      <c r="F83" s="212"/>
      <c r="G83" s="1354"/>
      <c r="H83" s="1327"/>
      <c r="I83" s="1355"/>
      <c r="J83" s="1327"/>
      <c r="K83" s="1355"/>
      <c r="L83" s="1327"/>
      <c r="M83" s="1320" t="str">
        <f>HYPERLINK("http://kaart.delfi.ee//?bookmark=8f83f1ab972c63fecc107285cdd50a9f","K-Nõmme")</f>
        <v>K-Nõmme</v>
      </c>
      <c r="N83" s="1356"/>
    </row>
    <row r="84" spans="1:20" x14ac:dyDescent="0.2">
      <c r="A84" s="131"/>
      <c r="B84" s="124"/>
      <c r="C84" s="26"/>
      <c r="D84" s="124"/>
      <c r="E84" s="299"/>
      <c r="F84" s="212"/>
      <c r="G84" s="1342"/>
      <c r="H84" s="1366"/>
      <c r="I84" s="1345"/>
      <c r="J84" s="1373"/>
      <c r="K84" s="1344" t="str">
        <f>HYPERLINK("http://www.petanque.ee/index.php?id=103738&amp;cid=452","8. Naiste EM, TRIO, TUL")</f>
        <v>8. Naiste EM, TRIO, TUL</v>
      </c>
      <c r="L84" s="1366"/>
      <c r="M84" s="1345"/>
      <c r="N84" s="1357"/>
    </row>
    <row r="85" spans="1:20" ht="13.5" thickBot="1" x14ac:dyDescent="0.25">
      <c r="A85" s="133"/>
      <c r="B85" s="126"/>
      <c r="C85" s="25"/>
      <c r="D85" s="126"/>
      <c r="E85" s="319"/>
      <c r="F85" s="213"/>
      <c r="G85" s="1358"/>
      <c r="H85" s="1374" t="str">
        <f>HYPERLINK("http://www.cep-petanque.com/tripleswomen.html","inf")</f>
        <v>inf</v>
      </c>
      <c r="I85" s="1360"/>
      <c r="J85" s="1375"/>
      <c r="K85" s="1282" t="str">
        <f>HYPERLINK("https://www.google.co.uk/maps/place/Sport+hall+HANT+ARENA/@48.1617132,17.1390452,1090m/data=!3m1!1e3!4m2!3m1!1s0x0:0xe113e8a176f2952a","Bratislava (Slovakkia)")</f>
        <v>Bratislava (Slovakkia)</v>
      </c>
      <c r="L85" s="1374" t="str">
        <f>HYPERLINK("http://petanquebratislava.com/en/live-streams/","vid")</f>
        <v>vid</v>
      </c>
      <c r="M85" s="1360"/>
      <c r="N85" s="1359" t="str">
        <f>HYPERLINK("http://petanquebratislava.com/en/program/","tul")</f>
        <v>tul</v>
      </c>
    </row>
    <row r="86" spans="1:20" x14ac:dyDescent="0.2">
      <c r="A86" s="131"/>
      <c r="B86" s="1180">
        <v>12</v>
      </c>
      <c r="C86" s="26"/>
      <c r="D86" s="1180">
        <v>13</v>
      </c>
      <c r="E86" s="211"/>
      <c r="F86" s="1180">
        <v>14</v>
      </c>
      <c r="G86" s="131"/>
      <c r="H86" s="1180">
        <v>15</v>
      </c>
      <c r="I86" s="24"/>
      <c r="J86" s="1180">
        <v>16</v>
      </c>
      <c r="K86" s="127"/>
      <c r="L86" s="1180">
        <v>17</v>
      </c>
      <c r="M86" s="781" t="str">
        <f>HYPERLINK("#12!J1","Ivari karikas, TUL")</f>
        <v>Ivari karikas, TUL</v>
      </c>
      <c r="N86" s="1180">
        <v>18</v>
      </c>
    </row>
    <row r="87" spans="1:20" ht="13.5" thickBot="1" x14ac:dyDescent="0.25">
      <c r="A87" s="131"/>
      <c r="B87" s="124"/>
      <c r="C87" s="26"/>
      <c r="D87" s="124"/>
      <c r="E87" s="1084"/>
      <c r="F87" s="124"/>
      <c r="G87" s="131"/>
      <c r="H87" s="124"/>
      <c r="I87" s="24"/>
      <c r="J87" s="124"/>
      <c r="K87" s="131"/>
      <c r="L87" s="124"/>
      <c r="M87" s="306" t="str">
        <f>HYPERLINK("http://kaart.delfi.ee/?bookmark=521b80d6ceeefbe3e5d227267242b576","K-Järve")</f>
        <v>K-Järve</v>
      </c>
      <c r="N87" s="209"/>
    </row>
    <row r="88" spans="1:20" x14ac:dyDescent="0.2">
      <c r="A88" s="127"/>
      <c r="B88" s="1180">
        <v>19</v>
      </c>
      <c r="C88" s="127"/>
      <c r="D88" s="1180">
        <v>20</v>
      </c>
      <c r="E88" s="1206" t="s">
        <v>619</v>
      </c>
      <c r="F88" s="1180">
        <v>21</v>
      </c>
      <c r="G88" s="127"/>
      <c r="H88" s="1180">
        <v>22</v>
      </c>
      <c r="I88" s="127"/>
      <c r="J88" s="1180">
        <v>23</v>
      </c>
      <c r="K88" s="127"/>
      <c r="L88" s="1180">
        <v>24</v>
      </c>
      <c r="M88" s="303" t="str">
        <f>HYPERLINK("#13!J1","K-Järve 17. MV, ")</f>
        <v xml:space="preserve">K-Järve 17. MV, </v>
      </c>
      <c r="N88" s="1180">
        <v>25</v>
      </c>
    </row>
    <row r="89" spans="1:20" x14ac:dyDescent="0.2">
      <c r="A89" s="131"/>
      <c r="B89" s="24"/>
      <c r="C89" s="131"/>
      <c r="D89" s="124"/>
      <c r="E89" s="1205" t="s">
        <v>628</v>
      </c>
      <c r="F89" s="300"/>
      <c r="G89" s="1207" t="s">
        <v>313</v>
      </c>
      <c r="H89" s="124"/>
      <c r="I89" s="131"/>
      <c r="J89" s="24"/>
      <c r="K89" s="131"/>
      <c r="L89" s="124"/>
      <c r="M89" s="302" t="s">
        <v>134</v>
      </c>
      <c r="N89" s="209"/>
    </row>
    <row r="90" spans="1:20" ht="13.5" thickBot="1" x14ac:dyDescent="0.25">
      <c r="A90" s="133"/>
      <c r="B90" s="25"/>
      <c r="C90" s="133"/>
      <c r="D90" s="126"/>
      <c r="E90" s="314" t="str">
        <f>HYPERLINK("http://kaart.delfi.ee/?bookmark=63ebb20d0f5732aa12acf360e2b986df","Voka")</f>
        <v>Voka</v>
      </c>
      <c r="F90" s="213"/>
      <c r="G90" s="133"/>
      <c r="H90" s="126"/>
      <c r="I90" s="133"/>
      <c r="J90" s="125"/>
      <c r="K90" s="133"/>
      <c r="L90" s="126"/>
      <c r="M90" s="176" t="str">
        <f>HYPERLINK("http://kaart.delfi.ee/?bookmark=521b80d6ceeefbe3e5d227267242b576","K-Järve")</f>
        <v>K-Järve</v>
      </c>
      <c r="N90" s="210"/>
      <c r="T90" s="644"/>
    </row>
    <row r="91" spans="1:20" s="8" customFormat="1" ht="13.5" thickBot="1" x14ac:dyDescent="0.25">
      <c r="A91" s="180" t="s">
        <v>98</v>
      </c>
      <c r="B91" s="178"/>
      <c r="C91" s="181"/>
      <c r="D91" s="24"/>
      <c r="E91" s="26"/>
      <c r="F91" s="24"/>
      <c r="G91" s="26"/>
      <c r="H91" s="24"/>
      <c r="I91" s="24"/>
      <c r="J91" s="24"/>
      <c r="K91" s="26"/>
      <c r="L91" s="24"/>
      <c r="M91" s="26"/>
      <c r="N91" s="24"/>
      <c r="T91" s="644"/>
    </row>
    <row r="92" spans="1:20" x14ac:dyDescent="0.2">
      <c r="A92" s="127"/>
      <c r="B92" s="1180">
        <v>26</v>
      </c>
      <c r="C92" s="129"/>
      <c r="D92" s="1180">
        <v>27</v>
      </c>
      <c r="E92" s="127"/>
      <c r="F92" s="1180">
        <v>28</v>
      </c>
      <c r="G92" s="139"/>
      <c r="H92" s="1180">
        <v>29</v>
      </c>
      <c r="I92" s="129"/>
      <c r="J92" s="1180">
        <v>30</v>
      </c>
      <c r="K92" s="174" t="str">
        <f>HYPERLINK("#M5!I1","Mäetaguse 7. KV")</f>
        <v>Mäetaguse 7. KV</v>
      </c>
      <c r="L92" s="1180">
        <v>1</v>
      </c>
      <c r="M92" s="783" t="str">
        <f>HYPERLINK("#'V-Fin'!K1","Voka 3. KV finaal, ")</f>
        <v xml:space="preserve">Voka 3. KV finaal, </v>
      </c>
      <c r="N92" s="1180">
        <v>2</v>
      </c>
      <c r="T92" s="644"/>
    </row>
    <row r="93" spans="1:20" x14ac:dyDescent="0.2">
      <c r="A93" s="131"/>
      <c r="B93" s="124"/>
      <c r="C93" s="26"/>
      <c r="D93" s="124"/>
      <c r="E93" s="131"/>
      <c r="F93" s="124"/>
      <c r="G93" s="135"/>
      <c r="H93" s="124"/>
      <c r="I93" s="26"/>
      <c r="J93" s="124"/>
      <c r="K93" s="1089" t="s">
        <v>114</v>
      </c>
      <c r="L93" s="136"/>
      <c r="M93" s="1139" t="s">
        <v>134</v>
      </c>
      <c r="N93" s="1204"/>
      <c r="T93" s="644"/>
    </row>
    <row r="94" spans="1:20" s="644" customFormat="1" x14ac:dyDescent="0.2">
      <c r="A94" s="211"/>
      <c r="B94" s="124"/>
      <c r="C94" s="721"/>
      <c r="D94" s="124"/>
      <c r="E94" s="211"/>
      <c r="F94" s="124"/>
      <c r="G94" s="135"/>
      <c r="H94" s="124"/>
      <c r="I94" s="721"/>
      <c r="J94" s="124"/>
      <c r="K94" s="805" t="str">
        <f>HYPERLINK("http://kaart.delfi.ee//?bookmark=acddabeb468494ed678558e12ae742c7","Mäetaguse parkla")</f>
        <v>Mäetaguse parkla</v>
      </c>
      <c r="L94" s="136"/>
      <c r="M94" s="1203" t="str">
        <f>HYPERLINK("#'V-Pl'!Z1","Voka pliks-plaks, ÜKSIK")</f>
        <v>Voka pliks-plaks, ÜKSIK</v>
      </c>
      <c r="N94" s="1361"/>
    </row>
    <row r="95" spans="1:20" x14ac:dyDescent="0.2">
      <c r="A95" s="131"/>
      <c r="B95" s="124"/>
      <c r="C95" s="26"/>
      <c r="D95" s="124"/>
      <c r="E95" s="131"/>
      <c r="F95" s="124"/>
      <c r="G95" s="135"/>
      <c r="H95" s="124"/>
      <c r="I95" s="211"/>
      <c r="J95" s="124"/>
      <c r="K95" s="1370" t="s">
        <v>589</v>
      </c>
      <c r="L95" s="1371"/>
      <c r="M95" s="965" t="str">
        <f>HYPERLINK("http://kaart.delfi.ee/?bookmark=63ebb20d0f5732aa12acf360e2b986df","Voka")</f>
        <v>Voka</v>
      </c>
      <c r="N95" s="212"/>
      <c r="T95" s="644"/>
    </row>
    <row r="96" spans="1:20" s="641" customFormat="1" x14ac:dyDescent="0.2">
      <c r="A96" s="211"/>
      <c r="B96" s="124"/>
      <c r="C96" s="721"/>
      <c r="D96" s="124"/>
      <c r="E96" s="211"/>
      <c r="F96" s="124"/>
      <c r="G96" s="135"/>
      <c r="H96" s="124"/>
      <c r="I96" s="211"/>
      <c r="J96" s="124"/>
      <c r="K96" s="1372" t="str">
        <f>HYPERLINK("https://www.facebook.com/Saku-Petangiklubi-267634706906332/","1. Saku Fun, loosiDUO/TRIO")</f>
        <v>1. Saku Fun, loosiDUO/TRIO</v>
      </c>
      <c r="L96" s="1323"/>
      <c r="M96" s="642"/>
      <c r="N96" s="124"/>
    </row>
    <row r="97" spans="1:14" s="641" customFormat="1" x14ac:dyDescent="0.2">
      <c r="A97" s="211"/>
      <c r="B97" s="124"/>
      <c r="C97" s="721"/>
      <c r="D97" s="124"/>
      <c r="E97" s="211"/>
      <c r="F97" s="124"/>
      <c r="G97" s="135"/>
      <c r="H97" s="124"/>
      <c r="I97" s="1362"/>
      <c r="J97" s="1327"/>
      <c r="K97" s="1363" t="str">
        <f>HYPERLINK("http://kaart.delfi.ee//?bookmark=36ee67ba7cba151859305c222805d114","Saku")</f>
        <v>Saku</v>
      </c>
      <c r="L97" s="1327"/>
      <c r="M97" s="1364"/>
      <c r="N97" s="1327"/>
    </row>
    <row r="98" spans="1:14" x14ac:dyDescent="0.2">
      <c r="A98" s="131"/>
      <c r="B98" s="124"/>
      <c r="C98" s="26"/>
      <c r="D98" s="124"/>
      <c r="E98" s="131"/>
      <c r="F98" s="124"/>
      <c r="G98" s="135"/>
      <c r="H98" s="124"/>
      <c r="I98" s="1365" t="str">
        <f>HYPERLINK("http://www.cep-petanque.com/espoirsmen.html","m")</f>
        <v>m</v>
      </c>
      <c r="J98" s="1366"/>
      <c r="K98" s="1367"/>
      <c r="L98" s="1368" t="s">
        <v>130</v>
      </c>
      <c r="M98" s="1367"/>
      <c r="N98" s="1369" t="str">
        <f>HYPERLINK("https://www.facebook.com/campeonatoespanapetanca/","fb")</f>
        <v>fb</v>
      </c>
    </row>
    <row r="99" spans="1:14" ht="13.5" thickBot="1" x14ac:dyDescent="0.25">
      <c r="A99" s="133"/>
      <c r="B99" s="126"/>
      <c r="C99" s="25"/>
      <c r="D99" s="126"/>
      <c r="E99" s="133"/>
      <c r="F99" s="126"/>
      <c r="G99" s="137"/>
      <c r="H99" s="126"/>
      <c r="I99" s="1281" t="str">
        <f>HYPERLINK("http://www.cep-petanque.com/espoirswomen.html","n")</f>
        <v>n</v>
      </c>
      <c r="J99" s="1262"/>
      <c r="K99" s="1282"/>
      <c r="L99" s="1283" t="str">
        <f>HYPERLINK("https://www.google.co.uk/maps/place/39300+Torrelavega,+Cantabria,+Spain/@43.343543,-4.0637601,14z/data=!3m1!4b1!4m2!3m1!1s0xd493e72ed01f43d:0xb11dcb6f47adc1a3","Torrelavega (Hispaania)")</f>
        <v>Torrelavega (Hispaania)</v>
      </c>
      <c r="M99" s="1284"/>
      <c r="N99" s="1285" t="str">
        <f>HYPERLINK("http://petancatv.com/directo/","live")</f>
        <v>live</v>
      </c>
    </row>
    <row r="100" spans="1:14" x14ac:dyDescent="0.2">
      <c r="A100" s="127"/>
      <c r="B100" s="1180">
        <v>3</v>
      </c>
      <c r="C100" s="129"/>
      <c r="D100" s="1180">
        <v>4</v>
      </c>
      <c r="E100" s="127"/>
      <c r="F100" s="1180">
        <v>5</v>
      </c>
      <c r="G100" s="139"/>
      <c r="H100" s="1180">
        <v>6</v>
      </c>
      <c r="I100" s="139"/>
      <c r="J100" s="1187">
        <v>7</v>
      </c>
      <c r="K100" s="139"/>
      <c r="L100" s="1180">
        <v>8</v>
      </c>
      <c r="M100" s="175" t="str">
        <f>HYPERLINK("#L!W1","Hooaja lõpetamine")</f>
        <v>Hooaja lõpetamine</v>
      </c>
      <c r="N100" s="1180">
        <v>9</v>
      </c>
    </row>
    <row r="101" spans="1:14" s="204" customFormat="1" x14ac:dyDescent="0.2">
      <c r="A101" s="211"/>
      <c r="B101" s="124"/>
      <c r="C101" s="721"/>
      <c r="D101" s="124"/>
      <c r="E101" s="211"/>
      <c r="F101" s="124"/>
      <c r="G101" s="135"/>
      <c r="H101" s="24"/>
      <c r="I101" s="135"/>
      <c r="J101" s="24"/>
      <c r="K101" s="135"/>
      <c r="L101" s="24"/>
      <c r="M101" s="1191" t="s">
        <v>145</v>
      </c>
      <c r="N101" s="305"/>
    </row>
    <row r="102" spans="1:14" ht="13.5" thickBot="1" x14ac:dyDescent="0.25">
      <c r="A102" s="133"/>
      <c r="B102" s="126"/>
      <c r="C102" s="25"/>
      <c r="D102" s="126"/>
      <c r="E102" s="133"/>
      <c r="F102" s="158"/>
      <c r="G102" s="137"/>
      <c r="H102" s="163"/>
      <c r="I102" s="137"/>
      <c r="J102" s="163"/>
      <c r="K102" s="137"/>
      <c r="L102" s="163"/>
      <c r="M102" s="1074" t="str">
        <f>HYPERLINK("http://kaart.delfi.ee/?bookmark=521b80d6ceeefbe3e5d227267242b576","K-Järve")</f>
        <v>K-Järve</v>
      </c>
      <c r="N102" s="955"/>
    </row>
    <row r="103" spans="1:14" x14ac:dyDescent="0.2">
      <c r="A103" s="127"/>
      <c r="B103" s="1180">
        <v>10</v>
      </c>
      <c r="C103" s="129"/>
      <c r="D103" s="1180">
        <v>11</v>
      </c>
      <c r="E103" s="127"/>
      <c r="F103" s="1180">
        <v>12</v>
      </c>
      <c r="G103" s="139"/>
      <c r="H103" s="1186">
        <v>13</v>
      </c>
      <c r="I103" s="1176"/>
      <c r="J103" s="1180">
        <v>14</v>
      </c>
      <c r="K103" s="129"/>
      <c r="L103" s="1180">
        <v>15</v>
      </c>
      <c r="M103" s="127"/>
      <c r="N103" s="1180">
        <v>16</v>
      </c>
    </row>
    <row r="104" spans="1:14" ht="13.5" thickBot="1" x14ac:dyDescent="0.25">
      <c r="A104" s="133"/>
      <c r="B104" s="126"/>
      <c r="C104" s="25"/>
      <c r="D104" s="126"/>
      <c r="E104" s="133"/>
      <c r="F104" s="126"/>
      <c r="G104" s="137"/>
      <c r="H104" s="126"/>
      <c r="I104" s="125"/>
      <c r="J104" s="126"/>
      <c r="K104" s="116"/>
      <c r="L104" s="126"/>
      <c r="M104" s="116"/>
      <c r="N104" s="126"/>
    </row>
    <row r="105" spans="1:14" x14ac:dyDescent="0.2">
      <c r="A105" s="127"/>
      <c r="B105" s="1180">
        <v>17</v>
      </c>
      <c r="C105" s="1227"/>
      <c r="D105" s="1188">
        <v>18</v>
      </c>
      <c r="E105" s="1227"/>
      <c r="F105" s="1189">
        <v>19</v>
      </c>
      <c r="G105" s="1227"/>
      <c r="H105" s="1189">
        <v>20</v>
      </c>
      <c r="I105" s="127"/>
      <c r="J105" s="1180">
        <v>21</v>
      </c>
      <c r="K105" s="127"/>
      <c r="L105" s="1180">
        <v>22</v>
      </c>
      <c r="M105" s="127"/>
      <c r="N105" s="1180">
        <v>23</v>
      </c>
    </row>
    <row r="106" spans="1:14" x14ac:dyDescent="0.2">
      <c r="A106" s="211"/>
      <c r="B106" s="124"/>
      <c r="C106" s="1255"/>
      <c r="D106" s="1259"/>
      <c r="E106" s="1257" t="s">
        <v>644</v>
      </c>
      <c r="F106" s="1258"/>
      <c r="G106" s="1256"/>
      <c r="H106" s="1265" t="str">
        <f>HYPERLINK("https://www.youtube.com/results?search_query=Championnat+d%27Europe+V%C3%A9t%C3%A9rans+2016+%C3%A0+MONACO","videod")</f>
        <v>videod</v>
      </c>
      <c r="I106" s="211"/>
      <c r="J106" s="1267"/>
      <c r="K106" s="211"/>
      <c r="L106" s="124"/>
      <c r="M106" s="211"/>
      <c r="N106" s="124"/>
    </row>
    <row r="107" spans="1:14" ht="13.5" thickBot="1" x14ac:dyDescent="0.25">
      <c r="A107" s="133"/>
      <c r="B107" s="126"/>
      <c r="C107" s="1264" t="str">
        <f>HYPERLINK("http://www.petanque.ee/index.php?id=103738&amp;cid=456","Inf")</f>
        <v>Inf</v>
      </c>
      <c r="D107" s="1260"/>
      <c r="E107" s="1261" t="str">
        <f>HYPERLINK("https://www.google.co.uk/maps/place/ZAC+St+Antoine/@43.7275044,7.4115625,746m/data=!3m1!1e3!4m2!3m1!1s0x0:0xa8db73956fa20236!6m1!1e1","Monaco")</f>
        <v>Monaco</v>
      </c>
      <c r="F107" s="1262"/>
      <c r="G107" s="1263"/>
      <c r="H107" s="1266" t="str">
        <f>HYPERLINK("http://www.cep-petanque.com/veterans.html","tulemused")</f>
        <v>tulemused</v>
      </c>
      <c r="I107" s="133"/>
      <c r="J107" s="126"/>
      <c r="K107" s="133"/>
      <c r="L107" s="126"/>
      <c r="M107" s="133"/>
      <c r="N107" s="126"/>
    </row>
    <row r="108" spans="1:14" x14ac:dyDescent="0.2">
      <c r="A108" s="127"/>
      <c r="B108" s="1180">
        <v>24</v>
      </c>
      <c r="C108" s="129"/>
      <c r="D108" s="1180">
        <v>25</v>
      </c>
      <c r="E108" s="129"/>
      <c r="F108" s="1189">
        <v>26</v>
      </c>
      <c r="G108" s="1276" t="str">
        <f>HYPERLINK("http://www.petanque.ee/index.php?id=103738&amp;cid=459","inf")</f>
        <v>inf</v>
      </c>
      <c r="H108" s="1190">
        <v>27</v>
      </c>
      <c r="I108" s="1228"/>
      <c r="J108" s="1189">
        <v>28</v>
      </c>
      <c r="K108" s="1229"/>
      <c r="L108" s="1190">
        <v>29</v>
      </c>
      <c r="M108" s="1229"/>
      <c r="N108" s="1180">
        <v>30</v>
      </c>
    </row>
    <row r="109" spans="1:14" s="644" customFormat="1" x14ac:dyDescent="0.2">
      <c r="A109" s="211"/>
      <c r="B109" s="124"/>
      <c r="C109" s="721"/>
      <c r="D109" s="124"/>
      <c r="E109" s="721"/>
      <c r="F109" s="1138"/>
      <c r="G109" s="1277"/>
      <c r="H109" s="1258"/>
      <c r="I109" s="1278"/>
      <c r="J109" s="1273" t="s">
        <v>646</v>
      </c>
      <c r="K109" s="1279"/>
      <c r="L109" s="1258"/>
      <c r="M109" s="1280"/>
      <c r="N109" s="1274" t="str">
        <f>HYPERLINK("http://www.cep-petanque.com/juniors.html","tulem")</f>
        <v>tulem</v>
      </c>
    </row>
    <row r="110" spans="1:14" ht="13.5" thickBot="1" x14ac:dyDescent="0.25">
      <c r="A110" s="133"/>
      <c r="B110" s="126"/>
      <c r="C110" s="25"/>
      <c r="D110" s="126"/>
      <c r="E110" s="25"/>
      <c r="F110" s="1140"/>
      <c r="G110" s="1264" t="str">
        <f>HYPERLINK("https://youtu.be/8GziEr3c7Wg?t=440","1.mängu video Est-Eng")</f>
        <v>1.mängu video Est-Eng</v>
      </c>
      <c r="H110" s="1260"/>
      <c r="I110" s="1263"/>
      <c r="J110" s="1260"/>
      <c r="K110" s="1275" t="str">
        <f>HYPERLINK("https://www.google.co.uk/maps/place/ZAC+St+Antoine/@43.7275044,7.4115625,746m/data=!3m1!1e3!4m2!3m1!1s0x0:0xa8db73956fa20236!6m1!1e1","Monaco")</f>
        <v>Monaco</v>
      </c>
      <c r="L110" s="1260"/>
      <c r="M110" s="1263"/>
      <c r="N110" s="1272" t="str">
        <f>HYPERLINK("https://www.youtube.com/results?search_query=Championnat+d+Europe+Jeunes+2016","vid")</f>
        <v>vid</v>
      </c>
    </row>
    <row r="111" spans="1:14" s="8" customFormat="1" hidden="1" x14ac:dyDescent="0.2">
      <c r="A111" s="177" t="s">
        <v>107</v>
      </c>
      <c r="B111" s="178"/>
      <c r="C111" s="181"/>
      <c r="D111" s="24"/>
      <c r="E111" s="26"/>
      <c r="F111" s="24"/>
      <c r="G111" s="26"/>
      <c r="H111" s="24"/>
      <c r="I111" s="24"/>
      <c r="J111" s="24"/>
      <c r="K111" s="26"/>
      <c r="L111" s="24"/>
      <c r="M111" s="26"/>
      <c r="N111" s="24"/>
    </row>
    <row r="112" spans="1:14" hidden="1" x14ac:dyDescent="0.2">
      <c r="A112" s="127"/>
      <c r="B112" s="128"/>
      <c r="C112" s="127"/>
      <c r="D112" s="128">
        <v>1</v>
      </c>
      <c r="E112" s="127"/>
      <c r="F112" s="128">
        <v>2</v>
      </c>
      <c r="G112" s="1082" t="str">
        <f>HYPERLINK("https://www.facebook.com/groups/246947711996006/permalink/1314554565235310/","EM JÄÄB ÄRA")</f>
        <v>EM JÄÄB ÄRA</v>
      </c>
      <c r="H112" s="128">
        <v>3</v>
      </c>
      <c r="I112" s="1147" t="s">
        <v>614</v>
      </c>
      <c r="J112" s="1148">
        <v>4</v>
      </c>
      <c r="K112" s="1149" t="str">
        <f>HYPERLINK("http://www.petanque.ee/index.php?id=103738&amp;cid=464","1. Singli EM (m, n), ")</f>
        <v xml:space="preserve">1. Singli EM (m, n), </v>
      </c>
      <c r="L112" s="1165">
        <v>5</v>
      </c>
      <c r="M112" s="1147" t="s">
        <v>614</v>
      </c>
      <c r="N112" s="1166">
        <v>6</v>
      </c>
    </row>
    <row r="113" spans="1:21" s="644" customFormat="1" hidden="1" x14ac:dyDescent="0.2">
      <c r="A113" s="211"/>
      <c r="B113" s="124"/>
      <c r="C113" s="211"/>
      <c r="D113" s="124"/>
      <c r="E113" s="211"/>
      <c r="F113" s="124"/>
      <c r="G113" s="1141"/>
      <c r="H113" s="124"/>
      <c r="I113" s="1146" t="s">
        <v>134</v>
      </c>
      <c r="J113" s="1143"/>
      <c r="K113" s="1146" t="s">
        <v>134</v>
      </c>
      <c r="L113" s="1144" t="str">
        <f>HYPERLINK("http://www.svenskboule.se/ECSingles2016/","inf")</f>
        <v>inf</v>
      </c>
      <c r="M113" s="1145" t="s">
        <v>134</v>
      </c>
      <c r="N113" s="1143"/>
    </row>
    <row r="114" spans="1:21" ht="13.5" hidden="1" thickBot="1" x14ac:dyDescent="0.25">
      <c r="A114" s="133"/>
      <c r="B114" s="126"/>
      <c r="C114" s="28"/>
      <c r="D114" s="168"/>
      <c r="E114" s="133"/>
      <c r="F114" s="126"/>
      <c r="G114" s="1083" t="str">
        <f>HYPERLINK("https://www.google.co.uk/maps/place/Nimes,+France/@43.8320735,4.2728078,12z/data=!4m2!3m1!1s0x12b42d0bd6e85339:0xde88134f9f200c03","Nîmes (Prantsusmaa)")</f>
        <v>Nîmes (Prantsusmaa)</v>
      </c>
      <c r="H114" s="126"/>
      <c r="I114" s="1150" t="s">
        <v>604</v>
      </c>
      <c r="J114" s="1151"/>
      <c r="K114" s="1175" t="str">
        <f>HYPERLINK("https://www.google.se/maps/place/Gentoftev%C3%A4gen+1,+302+38+Halmstad/@56.6673135,12.8427042,421m/data=!3m2!1e3!4b1!4m5!3m4!1s0x4651a3288d597f67:0x99f8405defa413d4!8m2!3d56.6673135!4d12.8448929","Halmstad (Rootsi)")</f>
        <v>Halmstad (Rootsi)</v>
      </c>
      <c r="L114" s="1152" t="str">
        <f>HYPERLINK("http://www.cep-petanque.com/tripleswomen.html","n")</f>
        <v>n</v>
      </c>
      <c r="M114" s="1153" t="s">
        <v>604</v>
      </c>
      <c r="N114" s="1154" t="str">
        <f>HYPERLINK("http://www.cep-petanque.com/singlesmen.html","m")</f>
        <v>m</v>
      </c>
      <c r="O114" s="644"/>
    </row>
    <row r="115" spans="1:21" s="8" customFormat="1" ht="13.5" hidden="1" thickBot="1" x14ac:dyDescent="0.25">
      <c r="A115" s="177" t="s">
        <v>106</v>
      </c>
      <c r="B115" s="178"/>
      <c r="C115" s="179"/>
      <c r="D115" s="24"/>
      <c r="E115" s="26"/>
      <c r="F115" s="24"/>
      <c r="G115" s="26"/>
      <c r="H115" s="24"/>
      <c r="I115" s="24"/>
      <c r="J115" s="24"/>
      <c r="K115" s="26"/>
      <c r="L115" s="24"/>
      <c r="M115" s="26"/>
      <c r="N115" s="27"/>
    </row>
    <row r="116" spans="1:21" ht="12.75" hidden="1" customHeight="1" x14ac:dyDescent="0.2">
      <c r="A116" s="127"/>
      <c r="B116" s="128"/>
      <c r="C116" s="127"/>
      <c r="D116" s="128"/>
      <c r="E116" s="127"/>
      <c r="F116" s="128"/>
      <c r="G116" s="1386" t="s">
        <v>432</v>
      </c>
      <c r="H116" s="128">
        <v>1</v>
      </c>
      <c r="I116" s="1157" t="s">
        <v>222</v>
      </c>
      <c r="J116" s="128">
        <v>2</v>
      </c>
      <c r="K116" s="1155" t="s">
        <v>222</v>
      </c>
      <c r="L116" s="128">
        <v>3</v>
      </c>
      <c r="M116" s="1158" t="s">
        <v>222</v>
      </c>
      <c r="N116" s="146">
        <v>4</v>
      </c>
      <c r="Q116" s="323"/>
      <c r="R116" s="323"/>
      <c r="S116" s="323"/>
      <c r="T116" s="323"/>
      <c r="U116" s="323"/>
    </row>
    <row r="117" spans="1:21" ht="13.5" hidden="1" customHeight="1" thickBot="1" x14ac:dyDescent="0.25">
      <c r="A117" s="133"/>
      <c r="B117" s="126"/>
      <c r="C117" s="28"/>
      <c r="D117" s="168"/>
      <c r="E117" s="133"/>
      <c r="F117" s="126"/>
      <c r="G117" s="1387"/>
      <c r="H117" s="126"/>
      <c r="I117" s="1161" t="s">
        <v>229</v>
      </c>
      <c r="J117" s="1164" t="str">
        <f>HYPERLINK("https://www.facebook.com/cmpm2016official/","fb")</f>
        <v>fb</v>
      </c>
      <c r="K117" s="1156" t="str">
        <f>HYPERLINK("https://www.google.ee/maps/place/Palais+de+sport+et+de+la+Culture+Mahamasina,+Rue+Andriba,+Antananarivo,+Madagaskar/@-18.9205999,47.5247446,763m/data=!3m2!1e3!4b1!4m5!3m4!1s0x21f07e0a85d7db35:0x30c17d2548afac6!8m2!3d-18.9206203!4d47.5272353","Antananarivo (Madagaskar)")</f>
        <v>Antananarivo (Madagaskar)</v>
      </c>
      <c r="L117" s="1163" t="str">
        <f>HYPERLINK("http://www.cmpm2016.org/","inf")</f>
        <v>inf</v>
      </c>
      <c r="M117" s="1159" t="s">
        <v>434</v>
      </c>
      <c r="N117" s="163"/>
      <c r="O117" s="204"/>
      <c r="Q117" s="323"/>
      <c r="R117" s="323"/>
      <c r="S117" s="323"/>
      <c r="T117" s="323"/>
      <c r="U117" s="323"/>
    </row>
    <row r="118" spans="1:21" s="204" customFormat="1" ht="12.75" hidden="1" customHeight="1" x14ac:dyDescent="0.2">
      <c r="A118" s="127"/>
      <c r="B118" s="128">
        <v>5</v>
      </c>
      <c r="C118" s="127"/>
      <c r="D118" s="128">
        <v>6</v>
      </c>
      <c r="E118" s="127"/>
      <c r="F118" s="128">
        <v>7</v>
      </c>
      <c r="G118" s="1387"/>
      <c r="H118" s="128">
        <v>8</v>
      </c>
      <c r="I118" s="1157" t="s">
        <v>270</v>
      </c>
      <c r="J118" s="128">
        <v>9</v>
      </c>
      <c r="K118" s="1157" t="s">
        <v>270</v>
      </c>
      <c r="L118" s="128">
        <v>10</v>
      </c>
      <c r="M118" s="1160" t="s">
        <v>433</v>
      </c>
      <c r="N118" s="146">
        <v>11</v>
      </c>
      <c r="Q118" s="8"/>
      <c r="R118" s="8"/>
      <c r="S118" s="8"/>
      <c r="T118" s="8"/>
      <c r="U118" s="8"/>
    </row>
    <row r="119" spans="1:21" s="204" customFormat="1" ht="13.5" hidden="1" customHeight="1" thickBot="1" x14ac:dyDescent="0.25">
      <c r="A119" s="133"/>
      <c r="B119" s="126"/>
      <c r="C119" s="28"/>
      <c r="D119" s="168"/>
      <c r="E119" s="133"/>
      <c r="F119" s="126"/>
      <c r="G119" s="1388"/>
      <c r="H119" s="126"/>
      <c r="I119" s="1161" t="s">
        <v>230</v>
      </c>
      <c r="J119" s="158"/>
      <c r="K119" s="1156" t="str">
        <f>HYPERLINK("https://www.google.ru/maps/place/%C3%85lg%C3%A5rdsv%C3%A4gen+30,+506+30+Bor%C3%A5s,+%D0%A8%D0%B2%D0%B5%D1%86%D0%B8%D1%8F/@57.7353287,12.9297844,436m/data=!3m2!1e3!4b1!4m2!3m1!1s0x465aa735dd325051:0xa294e73c8965b960","Borås (Rootsi)")</f>
        <v>Borås (Rootsi)</v>
      </c>
      <c r="L119" s="1162" t="str">
        <f>HYPERLINK("http://www.cep-petanque.com/eurocup.html","inf")</f>
        <v>inf</v>
      </c>
      <c r="M119" s="1161" t="s">
        <v>230</v>
      </c>
      <c r="N119" s="163"/>
      <c r="O119" s="323"/>
      <c r="Q119" s="323"/>
      <c r="R119" s="323"/>
      <c r="S119" s="323"/>
      <c r="T119" s="323"/>
      <c r="U119" s="323"/>
    </row>
    <row r="120" spans="1:21" s="644" customFormat="1" ht="13.5" customHeight="1" x14ac:dyDescent="0.2">
      <c r="A120" s="721"/>
      <c r="B120" s="24"/>
      <c r="C120" s="8"/>
      <c r="D120" s="1172"/>
      <c r="E120" s="721"/>
      <c r="F120" s="24"/>
      <c r="G120" s="1173"/>
      <c r="H120" s="24"/>
      <c r="I120" s="1174"/>
      <c r="J120" s="721"/>
      <c r="K120" s="1142"/>
      <c r="L120" s="1144"/>
      <c r="M120" s="1174"/>
      <c r="N120" s="24"/>
    </row>
    <row r="121" spans="1:21" x14ac:dyDescent="0.2">
      <c r="A121" s="1193" t="s">
        <v>618</v>
      </c>
      <c r="B121" s="169"/>
      <c r="C121" s="170"/>
      <c r="D121" s="170"/>
      <c r="E121" s="169"/>
      <c r="F121" s="169"/>
      <c r="G121" s="170"/>
      <c r="H121" s="170"/>
      <c r="I121" s="170"/>
      <c r="J121" s="170"/>
      <c r="K121" s="170"/>
      <c r="L121" s="170"/>
      <c r="M121" s="170"/>
      <c r="N121" s="169"/>
    </row>
    <row r="122" spans="1:21" x14ac:dyDescent="0.2">
      <c r="A122" s="120" t="s">
        <v>510</v>
      </c>
      <c r="B122" s="169"/>
      <c r="C122" s="170"/>
      <c r="D122" s="170"/>
      <c r="E122" s="169"/>
      <c r="F122" s="169"/>
      <c r="G122" s="170"/>
      <c r="H122" s="170"/>
      <c r="I122" s="170"/>
      <c r="J122" s="170"/>
      <c r="K122" s="170"/>
      <c r="L122" s="170"/>
      <c r="M122" s="170"/>
      <c r="N122" s="169"/>
    </row>
    <row r="123" spans="1:21" x14ac:dyDescent="0.2">
      <c r="A123" s="777" t="s">
        <v>509</v>
      </c>
      <c r="B123" s="777"/>
      <c r="C123" s="172"/>
      <c r="D123" s="172"/>
      <c r="E123" s="173"/>
      <c r="F123" s="173"/>
      <c r="G123" s="172"/>
      <c r="H123" s="172"/>
      <c r="I123" s="172"/>
      <c r="J123" s="172"/>
      <c r="K123" s="172"/>
      <c r="L123" s="172"/>
      <c r="M123" s="172"/>
      <c r="N123" s="173"/>
    </row>
    <row r="124" spans="1:21" s="5" customFormat="1" x14ac:dyDescent="0.2">
      <c r="A124" s="775" t="s">
        <v>508</v>
      </c>
      <c r="B124" s="318"/>
      <c r="C124" s="318"/>
      <c r="D124" s="318"/>
      <c r="E124" s="318"/>
      <c r="F124" s="318"/>
      <c r="G124" s="318"/>
      <c r="H124" s="318"/>
      <c r="I124" s="318"/>
      <c r="J124" s="316"/>
      <c r="K124" s="317"/>
      <c r="L124" s="317"/>
      <c r="M124" s="317"/>
      <c r="N124" s="776"/>
    </row>
    <row r="125" spans="1:21" s="5" customFormat="1" x14ac:dyDescent="0.2">
      <c r="A125" s="171" t="s">
        <v>645</v>
      </c>
      <c r="B125" s="104"/>
      <c r="C125" s="104"/>
      <c r="D125" s="104"/>
      <c r="E125" s="171"/>
      <c r="F125" s="171"/>
      <c r="G125" s="104"/>
      <c r="H125" s="104"/>
      <c r="I125" s="104"/>
      <c r="J125" s="104"/>
      <c r="K125" s="104"/>
      <c r="L125" s="104"/>
      <c r="M125" s="104"/>
      <c r="N125" s="171"/>
    </row>
    <row r="126" spans="1:21" s="5" customFormat="1" x14ac:dyDescent="0.2">
      <c r="A126" s="1192" t="s">
        <v>21</v>
      </c>
      <c r="B126" s="104"/>
      <c r="C126" s="104"/>
      <c r="D126" s="104"/>
      <c r="E126" s="171"/>
      <c r="F126" s="171"/>
      <c r="G126" s="104"/>
      <c r="H126" s="104"/>
      <c r="L126" s="104"/>
      <c r="M126" s="104"/>
      <c r="N126" s="1230" t="s">
        <v>615</v>
      </c>
    </row>
    <row r="127" spans="1:21" x14ac:dyDescent="0.2">
      <c r="B127" s="9"/>
      <c r="D127" s="9"/>
      <c r="E127" s="45"/>
      <c r="F127" s="45"/>
      <c r="G127" s="9"/>
      <c r="H127" s="9"/>
      <c r="I127" s="9"/>
      <c r="J127" s="9"/>
      <c r="K127" s="9"/>
      <c r="L127" s="9"/>
      <c r="M127" s="9"/>
      <c r="N127" s="45"/>
    </row>
  </sheetData>
  <mergeCells count="2">
    <mergeCell ref="G116:G119"/>
    <mergeCell ref="E36:E37"/>
  </mergeCells>
  <printOptions horizontalCentered="1"/>
  <pageMargins left="0.39370078740157483" right="0.39370078740157483" top="0.47244094488188981" bottom="0.31496062992125984" header="0.31496062992125984" footer="0"/>
  <pageSetup paperSize="9" fitToHeight="0" orientation="portrait" r:id="rId1"/>
  <headerFooter>
    <oddHeader>&amp;RPage &amp;P of &amp;N</oddHeader>
  </headerFooter>
  <rowBreaks count="1" manualBreakCount="1">
    <brk id="61" max="16383" man="1"/>
  </rowBreaks>
  <drawing r:id="rId2"/>
  <legacyDrawing r:id="rId3"/>
  <webPublishItems count="1">
    <webPublishItem id="31342" divId="reiting-2016_31342" sourceType="sheet" destinationFile="F:\KJpetankT\tabelid\reiting-2016.mht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B76"/>
  <sheetViews>
    <sheetView showGridLines="0" showRowColHeaders="0" zoomScaleNormal="100" workbookViewId="0">
      <pane ySplit="7" topLeftCell="A8" activePane="bottomLeft" state="frozen"/>
      <selection activeCell="I1" sqref="I1"/>
      <selection pane="bottomLeft" activeCell="L1" sqref="L1"/>
    </sheetView>
  </sheetViews>
  <sheetFormatPr defaultRowHeight="12.75" x14ac:dyDescent="0.2"/>
  <cols>
    <col min="1" max="1" width="3.28515625" style="731" customWidth="1"/>
    <col min="2" max="2" width="4" style="731" customWidth="1"/>
    <col min="3" max="3" width="3.28515625" style="731" customWidth="1"/>
    <col min="4" max="4" width="3.28515625" style="241" customWidth="1"/>
    <col min="5" max="5" width="18" style="731" customWidth="1"/>
    <col min="6" max="6" width="4" style="232" bestFit="1" customWidth="1"/>
    <col min="7" max="7" width="4" style="232" customWidth="1"/>
    <col min="8" max="8" width="19.42578125" style="232" hidden="1" customWidth="1"/>
    <col min="9" max="9" width="6.7109375" style="232" hidden="1" customWidth="1"/>
    <col min="10" max="15" width="3.28515625" style="241" customWidth="1"/>
    <col min="16" max="16" width="3.5703125" style="241" bestFit="1" customWidth="1"/>
    <col min="17" max="20" width="3.28515625" style="241" customWidth="1"/>
    <col min="21" max="21" width="3.85546875" style="241" bestFit="1" customWidth="1"/>
    <col min="22" max="22" width="3.28515625" style="241" customWidth="1"/>
    <col min="23" max="25" width="3.28515625" style="731" bestFit="1" customWidth="1"/>
    <col min="26" max="26" width="5.28515625" style="731" hidden="1" customWidth="1"/>
    <col min="27" max="27" width="4.5703125" style="731" hidden="1" customWidth="1"/>
    <col min="28" max="28" width="3.85546875" style="731" hidden="1" customWidth="1"/>
    <col min="29" max="30" width="0.85546875" style="731" customWidth="1"/>
    <col min="31" max="16384" width="9.140625" style="731"/>
  </cols>
  <sheetData>
    <row r="1" spans="1:28" x14ac:dyDescent="0.2">
      <c r="C1" s="196" t="s">
        <v>92</v>
      </c>
      <c r="D1" s="216"/>
      <c r="E1" s="216"/>
      <c r="F1" s="216"/>
      <c r="G1" s="216"/>
      <c r="H1" s="216"/>
      <c r="I1" s="216"/>
      <c r="J1" s="730"/>
      <c r="L1" s="216"/>
      <c r="M1" s="216"/>
      <c r="N1" s="216"/>
      <c r="O1" s="216"/>
      <c r="P1" s="216"/>
      <c r="Q1" s="297" t="str">
        <f>HYPERLINK("#Kalend!I1","Kalender")</f>
        <v>Kalender</v>
      </c>
      <c r="R1" s="216"/>
      <c r="S1" s="216"/>
      <c r="T1" s="216"/>
      <c r="U1" s="1209" t="s">
        <v>616</v>
      </c>
      <c r="V1" s="1178"/>
      <c r="W1" s="746"/>
      <c r="X1" s="217" t="s">
        <v>31</v>
      </c>
      <c r="Y1" s="217"/>
      <c r="Z1" s="216"/>
      <c r="AA1" s="216"/>
      <c r="AB1" s="216"/>
    </row>
    <row r="2" spans="1:28" x14ac:dyDescent="0.2">
      <c r="C2" s="312" t="s">
        <v>510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X2" s="219" t="s">
        <v>32</v>
      </c>
      <c r="Y2" s="219"/>
      <c r="Z2" s="216"/>
      <c r="AA2" s="216"/>
      <c r="AB2" s="216"/>
    </row>
    <row r="3" spans="1:28" x14ac:dyDescent="0.2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X3" s="220" t="s">
        <v>33</v>
      </c>
      <c r="Y3" s="220"/>
      <c r="Z3" s="216"/>
      <c r="AA3" s="216"/>
      <c r="AB3" s="216"/>
    </row>
    <row r="4" spans="1:28" ht="78" customHeight="1" x14ac:dyDescent="0.2">
      <c r="A4" s="728"/>
      <c r="B4" s="221"/>
      <c r="C4" s="221"/>
      <c r="D4" s="221"/>
      <c r="E4" s="728"/>
      <c r="F4" s="221"/>
      <c r="G4" s="221"/>
      <c r="H4" s="221"/>
      <c r="I4" s="221"/>
      <c r="J4" s="222" t="str">
        <f>Kalend!C7</f>
        <v>K-Järve 15. KV 1. etapp</v>
      </c>
      <c r="K4" s="222" t="str">
        <f>Kalend!C8</f>
        <v>K-Järve 15. KV 2. etapp</v>
      </c>
      <c r="L4" s="222" t="str">
        <f>Kalend!C12</f>
        <v>K-Järve 15. KV 3. etapp</v>
      </c>
      <c r="M4" s="1213" t="s">
        <v>635</v>
      </c>
      <c r="N4" s="1213" t="s">
        <v>635</v>
      </c>
      <c r="O4" s="223" t="str">
        <f>Kalend!C23</f>
        <v>Jõhvi 16. MV</v>
      </c>
      <c r="P4" s="223" t="str">
        <f>Kalend!C25</f>
        <v>Jõhvi 14. MV</v>
      </c>
      <c r="Q4" s="223" t="str">
        <f>Kalend!C26</f>
        <v>Jõhvi 16. MV</v>
      </c>
      <c r="R4" s="223" t="str">
        <f>Kalend!C29</f>
        <v>K-Järve 15. MV</v>
      </c>
      <c r="S4" s="223" t="str">
        <f>Kalend!C34</f>
        <v>K-Järve 17. MV</v>
      </c>
      <c r="T4" s="1213" t="s">
        <v>635</v>
      </c>
      <c r="U4" s="223" t="str">
        <f>Kalend!C38</f>
        <v>Ivari karikas</v>
      </c>
      <c r="V4" s="223" t="str">
        <f>Kalend!C40</f>
        <v>K-Järve 17. MV</v>
      </c>
    </row>
    <row r="5" spans="1:28" ht="29.25" x14ac:dyDescent="0.2">
      <c r="A5" s="728"/>
      <c r="B5" s="221"/>
      <c r="C5" s="221"/>
      <c r="D5" s="221"/>
      <c r="E5" s="728"/>
      <c r="F5" s="728"/>
      <c r="G5" s="729"/>
      <c r="H5" s="729"/>
      <c r="I5" s="729"/>
      <c r="J5" s="296" t="str">
        <f>MID(Kalend!A7,4,5)</f>
        <v>05.05</v>
      </c>
      <c r="K5" s="296" t="str">
        <f>MID(Kalend!A8,4,5)</f>
        <v>15.05</v>
      </c>
      <c r="L5" s="296" t="str">
        <f>MID(Kalend!A12,4,5)</f>
        <v>26.05</v>
      </c>
      <c r="M5" s="296" t="str">
        <f>MID(Kalend!A15,4,5)</f>
        <v>09.06</v>
      </c>
      <c r="N5" s="296" t="str">
        <f>MID(Kalend!A19,4,5)</f>
        <v>30.06</v>
      </c>
      <c r="O5" s="296" t="str">
        <f>MID(Kalend!A23,4,5)</f>
        <v>07.07</v>
      </c>
      <c r="P5" s="296" t="str">
        <f>MID(Kalend!A25,4,5)</f>
        <v>21.07</v>
      </c>
      <c r="Q5" s="296" t="str">
        <f>MID(Kalend!A26,4,5)</f>
        <v>31.07</v>
      </c>
      <c r="R5" s="296" t="str">
        <f>MID(Kalend!A29,4,5)</f>
        <v>11.08</v>
      </c>
      <c r="S5" s="296" t="str">
        <f>MID(Kalend!A34,4,5)</f>
        <v>25.08</v>
      </c>
      <c r="T5" s="296" t="str">
        <f>MID(Kalend!A37,4,5)</f>
        <v>11.09</v>
      </c>
      <c r="U5" s="296" t="str">
        <f>MID(Kalend!A38,4,5)</f>
        <v>18.09</v>
      </c>
      <c r="V5" s="296" t="str">
        <f>MID(Kalend!A40,4,5)</f>
        <v>25.09</v>
      </c>
      <c r="W5" s="1391" t="s">
        <v>88</v>
      </c>
      <c r="X5" s="1392" t="s">
        <v>34</v>
      </c>
      <c r="Y5" s="1393" t="s">
        <v>35</v>
      </c>
      <c r="Z5" s="746"/>
      <c r="AA5" s="746"/>
      <c r="AB5" s="746"/>
    </row>
    <row r="6" spans="1:28" x14ac:dyDescent="0.2">
      <c r="A6" s="1292" t="s">
        <v>424</v>
      </c>
      <c r="B6" s="1305"/>
      <c r="C6" s="1290"/>
      <c r="D6" s="1291"/>
      <c r="E6" s="1094"/>
      <c r="F6" s="1292" t="s">
        <v>425</v>
      </c>
      <c r="G6" s="1293"/>
      <c r="H6" s="224"/>
      <c r="I6" s="224"/>
      <c r="J6" s="324" t="str">
        <f>HYPERLINK("#1!G1"," 1 ")</f>
        <v xml:space="preserve"> 1 </v>
      </c>
      <c r="K6" s="324" t="str">
        <f>HYPERLINK("#2!I1"," 2 ")</f>
        <v xml:space="preserve"> 2 </v>
      </c>
      <c r="L6" s="324" t="str">
        <f>HYPERLINK("#3!J1"," 3 ")</f>
        <v xml:space="preserve"> 3 </v>
      </c>
      <c r="M6" s="324" t="str">
        <f>HYPERLINK("#4!I1"," 4 ")</f>
        <v xml:space="preserve"> 4 </v>
      </c>
      <c r="N6" s="324" t="str">
        <f>HYPERLINK("#5!L1"," 5 ")</f>
        <v xml:space="preserve"> 5 </v>
      </c>
      <c r="O6" s="324" t="str">
        <f>HYPERLINK("#6!J1"," 6 ")</f>
        <v xml:space="preserve"> 6 </v>
      </c>
      <c r="P6" s="324" t="str">
        <f>HYPERLINK("#7!J1"," 7 ")</f>
        <v xml:space="preserve"> 7 </v>
      </c>
      <c r="Q6" s="324" t="str">
        <f>HYPERLINK("#8!K1"," 8 ")</f>
        <v xml:space="preserve"> 8 </v>
      </c>
      <c r="R6" s="324" t="str">
        <f>HYPERLINK("#9!M1"," 9 ")</f>
        <v xml:space="preserve"> 9 </v>
      </c>
      <c r="S6" s="324" t="str">
        <f>HYPERLINK("#10!J1","10")</f>
        <v>10</v>
      </c>
      <c r="T6" s="1137" t="str">
        <f>HYPERLINK("#11!L1","11")</f>
        <v>11</v>
      </c>
      <c r="U6" s="324" t="str">
        <f>HYPERLINK("#12!W1","12")</f>
        <v>12</v>
      </c>
      <c r="V6" s="324" t="str">
        <f>HYPERLINK("#13!O1","13")</f>
        <v>13</v>
      </c>
      <c r="W6" s="1391"/>
      <c r="X6" s="1392"/>
      <c r="Y6" s="1393"/>
      <c r="Z6" s="746"/>
      <c r="AA6" s="746"/>
      <c r="AB6" s="746"/>
    </row>
    <row r="7" spans="1:28" x14ac:dyDescent="0.2">
      <c r="A7" s="19" t="s">
        <v>123</v>
      </c>
      <c r="B7" s="1294" t="s">
        <v>647</v>
      </c>
      <c r="C7" s="633" t="s">
        <v>36</v>
      </c>
      <c r="D7" s="634" t="s">
        <v>37</v>
      </c>
      <c r="E7" s="224" t="s">
        <v>38</v>
      </c>
      <c r="F7" s="1294" t="s">
        <v>39</v>
      </c>
      <c r="G7" s="19" t="s">
        <v>123</v>
      </c>
      <c r="H7" s="38" t="s">
        <v>126</v>
      </c>
      <c r="I7" s="20" t="s">
        <v>125</v>
      </c>
      <c r="J7" s="1239" t="s">
        <v>40</v>
      </c>
      <c r="K7" s="1239" t="s">
        <v>41</v>
      </c>
      <c r="L7" s="1239" t="s">
        <v>42</v>
      </c>
      <c r="M7" s="1239" t="s">
        <v>40</v>
      </c>
      <c r="N7" s="1239" t="s">
        <v>42</v>
      </c>
      <c r="O7" s="1239" t="s">
        <v>41</v>
      </c>
      <c r="P7" s="1239" t="s">
        <v>40</v>
      </c>
      <c r="Q7" s="1239" t="s">
        <v>42</v>
      </c>
      <c r="R7" s="1239" t="s">
        <v>40</v>
      </c>
      <c r="S7" s="1239" t="s">
        <v>41</v>
      </c>
      <c r="T7" s="1239" t="s">
        <v>41</v>
      </c>
      <c r="U7" s="1240" t="s">
        <v>29</v>
      </c>
      <c r="V7" s="1239" t="s">
        <v>42</v>
      </c>
      <c r="W7" s="744"/>
      <c r="X7" s="745"/>
      <c r="Y7" s="746"/>
      <c r="Z7" s="726" t="s">
        <v>40</v>
      </c>
      <c r="AA7" s="726" t="s">
        <v>41</v>
      </c>
      <c r="AB7" s="726" t="s">
        <v>42</v>
      </c>
    </row>
    <row r="8" spans="1:28" x14ac:dyDescent="0.2">
      <c r="A8" s="40">
        <f t="shared" ref="A8:A39" si="0">RANK(G8,G$8:G$57,0)</f>
        <v>1</v>
      </c>
      <c r="B8" s="1297">
        <v>1</v>
      </c>
      <c r="C8" s="418"/>
      <c r="D8" s="507"/>
      <c r="E8" s="1095" t="s">
        <v>43</v>
      </c>
      <c r="F8" s="1295">
        <v>334</v>
      </c>
      <c r="G8" s="16">
        <f t="shared" ref="G8:G39" si="1">H8+I8</f>
        <v>334.0621110001</v>
      </c>
      <c r="H8" s="39">
        <f>COUNTIF(J8:V8,40)/100+COUNTIF(J8:V8,34)/1000+COUNTIF(J8:V8,30)/10000+COUNTIF(J8:V8,26)/100000+COUNTIF(J8:V8,24)/1000000+COUNTIF(J8:V8,22)/10000000+COUNTIF(J8:V8,20)/100000000+COUNTIF(J8:V8,18)/1000000000+COUNTIF(J8:V8,16)/10000000000+COUNTIF(J8:V8,14)/100000000000+COUNTIF(J8:V8,12)/1000000000000+COUNTIF(J8:V8,10)/10000000000000+COUNTIF(J8:V8,8)/100000000000000+COUNTIF(J8:V8,6)/1000000000000000+COUNTIF(J8:V8,4)/10000000000000000+COUNTIF(J8:V8,2)/100000000000000000</f>
        <v>6.2111000100000008E-2</v>
      </c>
      <c r="I8" s="16">
        <f t="array" ref="I8">(IF(COUNT(L8,N8,Q8,U8,V8)&lt;3,SUM(L8,N8,Q8,U8,V8),SUM(LARGE((L8,N8,Q8,U8,V8),{1;2;3}))))+(IF(COUNT(K8,O8,S8,T8)&lt;3,SUM(K8,O8,S8,T8),SUM(LARGE((K8,O8,S8,T8),{1;2;3}))))+(IF(COUNT(J8,M8,P8,R8)&lt;3,SUM(J8,M8,P8,R8),SUM(LARGE((J8,M8,P8,R8),{1;2;3}))))</f>
        <v>334</v>
      </c>
      <c r="J8" s="615">
        <v>40</v>
      </c>
      <c r="K8" s="727">
        <v>40</v>
      </c>
      <c r="L8" s="615">
        <v>40</v>
      </c>
      <c r="M8" s="727">
        <v>34</v>
      </c>
      <c r="N8" s="727">
        <v>26</v>
      </c>
      <c r="O8" s="727">
        <v>40</v>
      </c>
      <c r="P8" s="727">
        <v>34</v>
      </c>
      <c r="Q8" s="1237" t="s">
        <v>313</v>
      </c>
      <c r="R8" s="1237">
        <v>30</v>
      </c>
      <c r="S8" s="727">
        <v>40</v>
      </c>
      <c r="T8" s="1237">
        <v>24</v>
      </c>
      <c r="U8" s="727">
        <v>40</v>
      </c>
      <c r="V8" s="1237">
        <v>16</v>
      </c>
      <c r="W8" s="230">
        <f t="shared" ref="W8:W39" si="2">COUNTIF(J8:V8,"&gt;=0")</f>
        <v>12</v>
      </c>
      <c r="X8" s="231">
        <f t="shared" ref="X8:X39" si="3">COUNTIF(J8:V8,"&gt;=30")</f>
        <v>9</v>
      </c>
      <c r="Y8" s="231">
        <f t="shared" ref="Y8:Y39" si="4">COUNTIF(J8:V8,"=40")</f>
        <v>6</v>
      </c>
      <c r="Z8" s="727">
        <f t="shared" ref="Z8:Z39" si="5">COUNTIF(J8,"=  ")+COUNTIF(M8,"=  ")+COUNTIF(P8,"=  ")+COUNTIF(R8,"=  ")</f>
        <v>0</v>
      </c>
      <c r="AA8" s="727">
        <f t="shared" ref="AA8:AA39" si="6">COUNTIF(K8,"=  ")+COUNTIF(O8,"=  ")+COUNTIF(S8,"=  ")+COUNTIF(T8,"=  ")</f>
        <v>0</v>
      </c>
      <c r="AB8" s="727">
        <f t="shared" ref="AB8:AB39" si="7">COUNTIF(L8,"=  ")+COUNTIF(N8,"=  ")+COUNTIF(Q8,"=  ")+COUNTIF(U8,"=  ")+COUNTIF(V8,"=  ")</f>
        <v>1</v>
      </c>
    </row>
    <row r="9" spans="1:28" x14ac:dyDescent="0.2">
      <c r="A9" s="40">
        <f t="shared" si="0"/>
        <v>2</v>
      </c>
      <c r="B9" s="1297">
        <v>2</v>
      </c>
      <c r="C9" s="418"/>
      <c r="D9" s="507"/>
      <c r="E9" s="764" t="s">
        <v>48</v>
      </c>
      <c r="F9" s="1295">
        <v>284</v>
      </c>
      <c r="G9" s="16">
        <f t="shared" si="1"/>
        <v>284.0232030011</v>
      </c>
      <c r="H9" s="39">
        <f t="shared" ref="H9:H57" si="8">COUNTIF(J9:V9,40)/100+COUNTIF(J9:V9,34)/1000+COUNTIF(J9:V9,30)/10000+COUNTIF(J9:V9,26)/100000+COUNTIF(J9:V9,24)/1000000+COUNTIF(J9:V9,22)/10000000+COUNTIF(J9:V9,20)/100000000+COUNTIF(J9:V9,18)/1000000000+COUNTIF(J9:V9,16)/10000000000+COUNTIF(J9:V9,14)/100000000000+COUNTIF(J9:V9,12)/1000000000000+COUNTIF(J9:V9,10)/10000000000000+COUNTIF(J9:V9,8)/100000000000000+COUNTIF(J9:V9,6)/1000000000000000+COUNTIF(J9:V9,4)/10000000000000000+COUNTIF(J9:V9,2)/100000000000000000</f>
        <v>2.3203001100000998E-2</v>
      </c>
      <c r="I9" s="16">
        <f t="array" ref="I9">(IF(COUNT(L9,N9,Q9,U9,V9)&lt;3,SUM(L9,N9,Q9,U9,V9),SUM(LARGE((L9,N9,Q9,U9,V9),{1;2;3}))))+(IF(COUNT(K9,O9,S9,T9)&lt;3,SUM(K9,O9,S9,T9),SUM(LARGE((K9,O9,S9,T9),{1;2;3}))))+(IF(COUNT(J9,M9,P9,R9)&lt;3,SUM(J9,M9,P9,R9),SUM(LARGE((J9,M9,P9,R9),{1;2;3}))))</f>
        <v>284</v>
      </c>
      <c r="J9" s="615">
        <v>40</v>
      </c>
      <c r="K9" s="727">
        <v>24</v>
      </c>
      <c r="L9" s="1238">
        <v>6</v>
      </c>
      <c r="M9" s="727">
        <v>34</v>
      </c>
      <c r="N9" s="727">
        <v>34</v>
      </c>
      <c r="O9" s="727">
        <v>30</v>
      </c>
      <c r="P9" s="727">
        <v>34</v>
      </c>
      <c r="Q9" s="727">
        <v>24</v>
      </c>
      <c r="R9" s="1237">
        <v>30</v>
      </c>
      <c r="S9" s="1237">
        <v>18</v>
      </c>
      <c r="T9" s="727">
        <v>40</v>
      </c>
      <c r="U9" s="1237">
        <v>16</v>
      </c>
      <c r="V9" s="727">
        <v>24</v>
      </c>
      <c r="W9" s="231">
        <f t="shared" si="2"/>
        <v>13</v>
      </c>
      <c r="X9" s="231">
        <f t="shared" si="3"/>
        <v>7</v>
      </c>
      <c r="Y9" s="231">
        <f t="shared" si="4"/>
        <v>2</v>
      </c>
      <c r="Z9" s="727">
        <f t="shared" si="5"/>
        <v>0</v>
      </c>
      <c r="AA9" s="727">
        <f t="shared" si="6"/>
        <v>0</v>
      </c>
      <c r="AB9" s="727">
        <f t="shared" si="7"/>
        <v>0</v>
      </c>
    </row>
    <row r="10" spans="1:28" x14ac:dyDescent="0.2">
      <c r="A10" s="40">
        <f t="shared" si="0"/>
        <v>3</v>
      </c>
      <c r="B10" s="1297">
        <v>3</v>
      </c>
      <c r="C10" s="418"/>
      <c r="D10" s="507"/>
      <c r="E10" s="1092" t="s">
        <v>44</v>
      </c>
      <c r="F10" s="1295">
        <v>278</v>
      </c>
      <c r="G10" s="16">
        <f t="shared" si="1"/>
        <v>278.02131200100001</v>
      </c>
      <c r="H10" s="39">
        <f t="shared" si="8"/>
        <v>2.131200100001E-2</v>
      </c>
      <c r="I10" s="16">
        <f t="array" ref="I10">(IF(COUNT(L10,N10,Q10,U10,V10)&lt;3,SUM(L10,N10,Q10,U10,V10),SUM(LARGE((L10,N10,Q10,U10,V10),{1;2;3}))))+(IF(COUNT(K10,O10,S10,T10)&lt;3,SUM(K10,O10,S10,T10),SUM(LARGE((K10,O10,S10,T10),{1;2;3}))))+(IF(COUNT(J10,M10,P10,R10)&lt;3,SUM(J10,M10,P10,R10),SUM(LARGE((J10,M10,P10,R10),{1;2;3}))))</f>
        <v>278</v>
      </c>
      <c r="J10" s="615">
        <v>30</v>
      </c>
      <c r="K10" s="727">
        <v>24</v>
      </c>
      <c r="L10" s="615">
        <v>34</v>
      </c>
      <c r="M10" s="727">
        <v>26</v>
      </c>
      <c r="N10" s="727">
        <v>40</v>
      </c>
      <c r="O10" s="727">
        <v>30</v>
      </c>
      <c r="P10" s="1238" t="s">
        <v>313</v>
      </c>
      <c r="Q10" s="1237">
        <v>8</v>
      </c>
      <c r="R10" s="727">
        <v>24</v>
      </c>
      <c r="S10" s="1237">
        <v>18</v>
      </c>
      <c r="T10" s="727">
        <v>40</v>
      </c>
      <c r="U10" s="1237">
        <v>19</v>
      </c>
      <c r="V10" s="727">
        <v>30</v>
      </c>
      <c r="W10" s="230">
        <f t="shared" si="2"/>
        <v>12</v>
      </c>
      <c r="X10" s="231">
        <f t="shared" si="3"/>
        <v>6</v>
      </c>
      <c r="Y10" s="231">
        <f t="shared" si="4"/>
        <v>2</v>
      </c>
      <c r="Z10" s="727">
        <f t="shared" si="5"/>
        <v>1</v>
      </c>
      <c r="AA10" s="727">
        <f t="shared" si="6"/>
        <v>0</v>
      </c>
      <c r="AB10" s="727">
        <f t="shared" si="7"/>
        <v>0</v>
      </c>
    </row>
    <row r="11" spans="1:28" x14ac:dyDescent="0.2">
      <c r="A11" s="40">
        <f t="shared" si="0"/>
        <v>4</v>
      </c>
      <c r="B11" s="1298">
        <v>4</v>
      </c>
      <c r="C11" s="418"/>
      <c r="D11" s="507"/>
      <c r="E11" s="1093" t="s">
        <v>49</v>
      </c>
      <c r="F11" s="1295">
        <v>266</v>
      </c>
      <c r="G11" s="16">
        <f t="shared" si="1"/>
        <v>266.03124000000003</v>
      </c>
      <c r="H11" s="39">
        <f t="shared" si="8"/>
        <v>3.1239999999999997E-2</v>
      </c>
      <c r="I11" s="16">
        <f t="array" ref="I11">(IF(COUNT(L11,N11,Q11,U11,V11)&lt;3,SUM(L11,N11,Q11,U11,V11),SUM(LARGE((L11,N11,Q11,U11,V11),{1;2;3}))))+(IF(COUNT(K11,O11,S11,T11)&lt;3,SUM(K11,O11,S11,T11),SUM(LARGE((K11,O11,S11,T11),{1;2;3}))))+(IF(COUNT(J11,M11,P11,R11)&lt;3,SUM(J11,M11,P11,R11),SUM(LARGE((J11,M11,P11,R11),{1;2;3}))))</f>
        <v>266</v>
      </c>
      <c r="J11" s="1238" t="s">
        <v>313</v>
      </c>
      <c r="K11" s="1237">
        <v>26</v>
      </c>
      <c r="L11" s="615">
        <v>30</v>
      </c>
      <c r="M11" s="615">
        <v>40</v>
      </c>
      <c r="N11" s="727">
        <v>30</v>
      </c>
      <c r="O11" s="727">
        <v>34</v>
      </c>
      <c r="P11" s="727"/>
      <c r="Q11" s="615">
        <v>40</v>
      </c>
      <c r="R11" s="727">
        <v>40</v>
      </c>
      <c r="S11" s="727">
        <v>26</v>
      </c>
      <c r="T11" s="727">
        <v>26</v>
      </c>
      <c r="U11" s="1237">
        <v>9</v>
      </c>
      <c r="V11" s="1237">
        <v>26</v>
      </c>
      <c r="W11" s="231">
        <f t="shared" si="2"/>
        <v>11</v>
      </c>
      <c r="X11" s="231">
        <f t="shared" si="3"/>
        <v>6</v>
      </c>
      <c r="Y11" s="231">
        <f t="shared" si="4"/>
        <v>3</v>
      </c>
      <c r="Z11" s="727">
        <f t="shared" si="5"/>
        <v>1</v>
      </c>
      <c r="AA11" s="727">
        <f t="shared" si="6"/>
        <v>0</v>
      </c>
      <c r="AB11" s="727">
        <f t="shared" si="7"/>
        <v>0</v>
      </c>
    </row>
    <row r="12" spans="1:28" x14ac:dyDescent="0.2">
      <c r="A12" s="40">
        <f t="shared" si="0"/>
        <v>5</v>
      </c>
      <c r="B12" s="1297">
        <v>5</v>
      </c>
      <c r="C12" s="418"/>
      <c r="D12" s="507"/>
      <c r="E12" s="911" t="s">
        <v>47</v>
      </c>
      <c r="F12" s="1295">
        <v>260</v>
      </c>
      <c r="G12" s="16">
        <f t="shared" si="1"/>
        <v>260.02123101001001</v>
      </c>
      <c r="H12" s="39">
        <f t="shared" si="8"/>
        <v>2.1231010010010001E-2</v>
      </c>
      <c r="I12" s="16">
        <f t="array" ref="I12">(IF(COUNT(L12,N12,Q12,U12,V12)&lt;3,SUM(L12,N12,Q12,U12,V12),SUM(LARGE((L12,N12,Q12,U12,V12),{1;2;3}))))+(IF(COUNT(K12,O12,S12,T12)&lt;3,SUM(K12,O12,S12,T12),SUM(LARGE((K12,O12,S12,T12),{1;2;3}))))+(IF(COUNT(J12,M12,P12,R12)&lt;3,SUM(J12,M12,P12,R12),SUM(LARGE((J12,M12,P12,R12),{1;2;3}))))</f>
        <v>260</v>
      </c>
      <c r="J12" s="1238">
        <v>24</v>
      </c>
      <c r="K12" s="1238">
        <v>26</v>
      </c>
      <c r="L12" s="1237">
        <v>1</v>
      </c>
      <c r="M12" s="727">
        <v>40</v>
      </c>
      <c r="N12" s="727">
        <v>20</v>
      </c>
      <c r="O12" s="727">
        <v>34</v>
      </c>
      <c r="P12" s="615">
        <v>30</v>
      </c>
      <c r="Q12" s="727">
        <v>14</v>
      </c>
      <c r="R12" s="727">
        <v>40</v>
      </c>
      <c r="S12" s="727">
        <v>26</v>
      </c>
      <c r="T12" s="727">
        <v>26</v>
      </c>
      <c r="U12" s="727">
        <v>30</v>
      </c>
      <c r="V12" s="1237">
        <v>8</v>
      </c>
      <c r="W12" s="231">
        <f t="shared" si="2"/>
        <v>13</v>
      </c>
      <c r="X12" s="231">
        <f t="shared" si="3"/>
        <v>5</v>
      </c>
      <c r="Y12" s="231">
        <f t="shared" si="4"/>
        <v>2</v>
      </c>
      <c r="Z12" s="727">
        <f t="shared" si="5"/>
        <v>0</v>
      </c>
      <c r="AA12" s="727">
        <f t="shared" si="6"/>
        <v>0</v>
      </c>
      <c r="AB12" s="727">
        <f t="shared" si="7"/>
        <v>0</v>
      </c>
    </row>
    <row r="13" spans="1:28" x14ac:dyDescent="0.2">
      <c r="A13" s="40">
        <f t="shared" si="0"/>
        <v>6</v>
      </c>
      <c r="B13" s="1297">
        <v>6</v>
      </c>
      <c r="C13" s="418"/>
      <c r="D13" s="507"/>
      <c r="E13" s="1094" t="s">
        <v>45</v>
      </c>
      <c r="F13" s="1295">
        <v>256</v>
      </c>
      <c r="G13" s="16">
        <f t="shared" si="1"/>
        <v>256.00313110111</v>
      </c>
      <c r="H13" s="39">
        <f t="shared" si="8"/>
        <v>3.1311011099999998E-3</v>
      </c>
      <c r="I13" s="16">
        <f t="array" ref="I13">(IF(COUNT(L13,N13,Q13,U13,V13)&lt;3,SUM(L13,N13,Q13,U13,V13),SUM(LARGE((L13,N13,Q13,U13,V13),{1;2;3}))))+(IF(COUNT(K13,O13,S13,T13)&lt;3,SUM(K13,O13,S13,T13),SUM(LARGE((K13,O13,S13,T13),{1;2;3}))))+(IF(COUNT(J13,M13,P13,R13)&lt;3,SUM(J13,M13,P13,R13),SUM(LARGE((J13,M13,P13,R13),{1;2;3}))))</f>
        <v>256</v>
      </c>
      <c r="J13" s="615">
        <v>34</v>
      </c>
      <c r="K13" s="727">
        <v>30</v>
      </c>
      <c r="L13" s="615">
        <v>26</v>
      </c>
      <c r="M13" s="727">
        <v>24</v>
      </c>
      <c r="N13" s="1237">
        <v>16</v>
      </c>
      <c r="O13" s="727">
        <v>26</v>
      </c>
      <c r="P13" s="727">
        <v>26</v>
      </c>
      <c r="Q13" s="727">
        <v>34</v>
      </c>
      <c r="R13" s="1237">
        <v>18</v>
      </c>
      <c r="S13" s="727">
        <v>34</v>
      </c>
      <c r="T13" s="1237">
        <v>14</v>
      </c>
      <c r="U13" s="1237" t="s">
        <v>313</v>
      </c>
      <c r="V13" s="727">
        <v>22</v>
      </c>
      <c r="W13" s="231">
        <f t="shared" si="2"/>
        <v>12</v>
      </c>
      <c r="X13" s="231">
        <f t="shared" si="3"/>
        <v>4</v>
      </c>
      <c r="Y13" s="231">
        <f t="shared" si="4"/>
        <v>0</v>
      </c>
      <c r="Z13" s="727">
        <f t="shared" si="5"/>
        <v>0</v>
      </c>
      <c r="AA13" s="727">
        <f t="shared" si="6"/>
        <v>0</v>
      </c>
      <c r="AB13" s="727">
        <f t="shared" si="7"/>
        <v>1</v>
      </c>
    </row>
    <row r="14" spans="1:28" x14ac:dyDescent="0.2">
      <c r="A14" s="40">
        <f t="shared" si="0"/>
        <v>7</v>
      </c>
      <c r="B14" s="1297">
        <v>7</v>
      </c>
      <c r="C14" s="418"/>
      <c r="D14" s="507"/>
      <c r="E14" s="911" t="s">
        <v>51</v>
      </c>
      <c r="F14" s="1295">
        <v>246</v>
      </c>
      <c r="G14" s="16">
        <f t="shared" si="1"/>
        <v>246.01201223000001</v>
      </c>
      <c r="H14" s="39">
        <f t="shared" si="8"/>
        <v>1.2012230000001E-2</v>
      </c>
      <c r="I14" s="16">
        <f t="array" ref="I14">(IF(COUNT(L14,N14,Q14,U14,V14)&lt;3,SUM(L14,N14,Q14,U14,V14),SUM(LARGE((L14,N14,Q14,U14,V14),{1;2;3}))))+(IF(COUNT(K14,O14,S14,T14)&lt;3,SUM(K14,O14,S14,T14),SUM(LARGE((K14,O14,S14,T14),{1;2;3}))))+(IF(COUNT(J14,M14,P14,R14)&lt;3,SUM(J14,M14,P14,R14),SUM(LARGE((J14,M14,P14,R14),{1;2;3}))))</f>
        <v>246</v>
      </c>
      <c r="J14" s="615">
        <v>24</v>
      </c>
      <c r="K14" s="1237">
        <v>20</v>
      </c>
      <c r="L14" s="1238">
        <v>1</v>
      </c>
      <c r="M14" s="1237">
        <v>22</v>
      </c>
      <c r="N14" s="727">
        <v>24</v>
      </c>
      <c r="O14" s="727">
        <v>20</v>
      </c>
      <c r="P14" s="615">
        <v>20</v>
      </c>
      <c r="Q14" s="727">
        <v>26</v>
      </c>
      <c r="R14" s="727">
        <v>34</v>
      </c>
      <c r="S14" s="727">
        <v>22</v>
      </c>
      <c r="T14" s="727">
        <v>34</v>
      </c>
      <c r="U14" s="1237">
        <v>6</v>
      </c>
      <c r="V14" s="727">
        <v>40</v>
      </c>
      <c r="W14" s="231">
        <f t="shared" si="2"/>
        <v>13</v>
      </c>
      <c r="X14" s="231">
        <f t="shared" si="3"/>
        <v>3</v>
      </c>
      <c r="Y14" s="231">
        <f t="shared" si="4"/>
        <v>1</v>
      </c>
      <c r="Z14" s="727">
        <f t="shared" si="5"/>
        <v>0</v>
      </c>
      <c r="AA14" s="727">
        <f t="shared" si="6"/>
        <v>0</v>
      </c>
      <c r="AB14" s="727">
        <f t="shared" si="7"/>
        <v>0</v>
      </c>
    </row>
    <row r="15" spans="1:28" x14ac:dyDescent="0.2">
      <c r="A15" s="40">
        <f t="shared" si="0"/>
        <v>8</v>
      </c>
      <c r="B15" s="1297">
        <v>8</v>
      </c>
      <c r="C15" s="418"/>
      <c r="D15" s="507"/>
      <c r="E15" s="911" t="s">
        <v>46</v>
      </c>
      <c r="F15" s="1295">
        <v>218</v>
      </c>
      <c r="G15" s="16">
        <f t="shared" si="1"/>
        <v>218.00121211022</v>
      </c>
      <c r="H15" s="39">
        <f t="shared" si="8"/>
        <v>1.2121102200000002E-3</v>
      </c>
      <c r="I15" s="16">
        <f t="array" ref="I15">(IF(COUNT(L15,N15,Q15,U15,V15)&lt;3,SUM(L15,N15,Q15,U15,V15),SUM(LARGE((L15,N15,Q15,U15,V15),{1;2;3}))))+(IF(COUNT(K15,O15,S15,T15)&lt;3,SUM(K15,O15,S15,T15),SUM(LARGE((K15,O15,S15,T15),{1;2;3}))))+(IF(COUNT(J15,M15,P15,R15)&lt;3,SUM(J15,M15,P15,R15),SUM(LARGE((J15,M15,P15,R15),{1;2;3}))))</f>
        <v>218</v>
      </c>
      <c r="J15" s="615">
        <v>30</v>
      </c>
      <c r="K15" s="727">
        <v>34</v>
      </c>
      <c r="L15" s="615">
        <v>20</v>
      </c>
      <c r="M15" s="727">
        <v>26</v>
      </c>
      <c r="N15" s="727">
        <v>22</v>
      </c>
      <c r="O15" s="1237" t="s">
        <v>313</v>
      </c>
      <c r="P15" s="1237">
        <v>24</v>
      </c>
      <c r="Q15" s="727">
        <v>30</v>
      </c>
      <c r="R15" s="727">
        <v>24</v>
      </c>
      <c r="S15" s="727">
        <v>16</v>
      </c>
      <c r="T15" s="727">
        <v>16</v>
      </c>
      <c r="U15" s="1237">
        <v>14</v>
      </c>
      <c r="V15" s="1237">
        <v>14</v>
      </c>
      <c r="W15" s="231">
        <f t="shared" si="2"/>
        <v>12</v>
      </c>
      <c r="X15" s="231">
        <f t="shared" si="3"/>
        <v>3</v>
      </c>
      <c r="Y15" s="231">
        <f t="shared" si="4"/>
        <v>0</v>
      </c>
      <c r="Z15" s="727">
        <f t="shared" si="5"/>
        <v>0</v>
      </c>
      <c r="AA15" s="727">
        <f t="shared" si="6"/>
        <v>1</v>
      </c>
      <c r="AB15" s="727">
        <f t="shared" si="7"/>
        <v>0</v>
      </c>
    </row>
    <row r="16" spans="1:28" x14ac:dyDescent="0.2">
      <c r="A16" s="40">
        <f t="shared" si="0"/>
        <v>9</v>
      </c>
      <c r="B16" s="1297">
        <v>9</v>
      </c>
      <c r="C16" s="418"/>
      <c r="D16" s="507"/>
      <c r="E16" s="913" t="s">
        <v>58</v>
      </c>
      <c r="F16" s="1295">
        <v>202</v>
      </c>
      <c r="G16" s="16">
        <f t="shared" si="1"/>
        <v>202.01010212000111</v>
      </c>
      <c r="H16" s="39">
        <f t="shared" si="8"/>
        <v>1.0102120001099999E-2</v>
      </c>
      <c r="I16" s="16">
        <f t="array" ref="I16">(IF(COUNT(L16,N16,Q16,U16,V16)&lt;3,SUM(L16,N16,Q16,U16,V16),SUM(LARGE((L16,N16,Q16,U16,V16),{1;2;3}))))+(IF(COUNT(K16,O16,S16,T16)&lt;3,SUM(K16,O16,S16,T16),SUM(LARGE((K16,O16,S16,T16),{1;2;3}))))+(IF(COUNT(J16,M16,P16,R16)&lt;3,SUM(J16,M16,P16,R16),SUM(LARGE((J16,M16,P16,R16),{1;2;3}))))</f>
        <v>202</v>
      </c>
      <c r="J16" s="615">
        <v>20</v>
      </c>
      <c r="K16" s="727">
        <v>22</v>
      </c>
      <c r="L16" s="615">
        <v>10</v>
      </c>
      <c r="M16" s="1238" t="s">
        <v>313</v>
      </c>
      <c r="N16" s="1238" t="s">
        <v>313</v>
      </c>
      <c r="O16" s="1237" t="s">
        <v>313</v>
      </c>
      <c r="P16" s="727">
        <v>30</v>
      </c>
      <c r="Q16" s="1237" t="s">
        <v>313</v>
      </c>
      <c r="R16" s="727">
        <v>40</v>
      </c>
      <c r="S16" s="727">
        <v>24</v>
      </c>
      <c r="T16" s="727">
        <v>20</v>
      </c>
      <c r="U16" s="727">
        <v>24</v>
      </c>
      <c r="V16" s="727">
        <v>12</v>
      </c>
      <c r="W16" s="231">
        <f t="shared" si="2"/>
        <v>9</v>
      </c>
      <c r="X16" s="231">
        <f t="shared" si="3"/>
        <v>2</v>
      </c>
      <c r="Y16" s="231">
        <f t="shared" si="4"/>
        <v>1</v>
      </c>
      <c r="Z16" s="727">
        <f t="shared" si="5"/>
        <v>1</v>
      </c>
      <c r="AA16" s="727">
        <f t="shared" si="6"/>
        <v>1</v>
      </c>
      <c r="AB16" s="727">
        <f t="shared" si="7"/>
        <v>2</v>
      </c>
    </row>
    <row r="17" spans="1:28" x14ac:dyDescent="0.2">
      <c r="A17" s="40">
        <f t="shared" si="0"/>
        <v>10</v>
      </c>
      <c r="B17" s="1297">
        <v>10</v>
      </c>
      <c r="C17" s="418"/>
      <c r="D17" s="507"/>
      <c r="E17" s="922" t="s">
        <v>81</v>
      </c>
      <c r="F17" s="1295">
        <v>200</v>
      </c>
      <c r="G17" s="16">
        <f t="shared" si="1"/>
        <v>200.00121031001001</v>
      </c>
      <c r="H17" s="39">
        <f t="shared" si="8"/>
        <v>1.2103100100001099E-3</v>
      </c>
      <c r="I17" s="16">
        <f t="array" ref="I17">(IF(COUNT(L17,N17,Q17,U17,V17)&lt;3,SUM(L17,N17,Q17,U17,V17),SUM(LARGE((L17,N17,Q17,U17,V17),{1;2;3}))))+(IF(COUNT(K17,O17,S17,T17)&lt;3,SUM(K17,O17,S17,T17),SUM(LARGE((K17,O17,S17,T17),{1;2;3}))))+(IF(COUNT(J17,M17,P17,R17)&lt;3,SUM(J17,M17,P17,R17),SUM(LARGE((J17,M17,P17,R17),{1;2;3}))))</f>
        <v>200</v>
      </c>
      <c r="J17" s="615">
        <v>22</v>
      </c>
      <c r="K17" s="1237" t="s">
        <v>313</v>
      </c>
      <c r="L17" s="1238">
        <v>4</v>
      </c>
      <c r="M17" s="1237">
        <v>20</v>
      </c>
      <c r="N17" s="727">
        <v>14</v>
      </c>
      <c r="O17" s="727"/>
      <c r="P17" s="615">
        <v>22</v>
      </c>
      <c r="Q17" s="1237">
        <v>2</v>
      </c>
      <c r="R17" s="727">
        <v>26</v>
      </c>
      <c r="S17" s="727">
        <v>30</v>
      </c>
      <c r="T17" s="727">
        <v>30</v>
      </c>
      <c r="U17" s="727">
        <v>22</v>
      </c>
      <c r="V17" s="727">
        <v>34</v>
      </c>
      <c r="W17" s="231">
        <f t="shared" si="2"/>
        <v>11</v>
      </c>
      <c r="X17" s="231">
        <f t="shared" si="3"/>
        <v>3</v>
      </c>
      <c r="Y17" s="231">
        <f t="shared" si="4"/>
        <v>0</v>
      </c>
      <c r="Z17" s="727">
        <f t="shared" si="5"/>
        <v>0</v>
      </c>
      <c r="AA17" s="727">
        <f t="shared" si="6"/>
        <v>1</v>
      </c>
      <c r="AB17" s="727">
        <f t="shared" si="7"/>
        <v>0</v>
      </c>
    </row>
    <row r="18" spans="1:28" x14ac:dyDescent="0.2">
      <c r="A18" s="40">
        <f t="shared" si="0"/>
        <v>11</v>
      </c>
      <c r="B18" s="1297">
        <v>11</v>
      </c>
      <c r="C18" s="418">
        <v>1</v>
      </c>
      <c r="D18" s="507"/>
      <c r="E18" s="923" t="s">
        <v>64</v>
      </c>
      <c r="F18" s="1295">
        <v>193</v>
      </c>
      <c r="G18" s="16">
        <f t="shared" si="1"/>
        <v>193.02210101</v>
      </c>
      <c r="H18" s="39">
        <f t="shared" si="8"/>
        <v>2.2101010000000001E-2</v>
      </c>
      <c r="I18" s="16">
        <f t="array" ref="I18">(IF(COUNT(L18,N18,Q18,U18,V18)&lt;3,SUM(L18,N18,Q18,U18,V18),SUM(LARGE((L18,N18,Q18,U18,V18),{1;2;3}))))+(IF(COUNT(K18,O18,S18,T18)&lt;3,SUM(K18,O18,S18,T18),SUM(LARGE((K18,O18,S18,T18),{1;2;3}))))+(IF(COUNT(J18,M18,P18,R18)&lt;3,SUM(J18,M18,P18,R18),SUM(LARGE((J18,M18,P18,R18),{1;2;3}))))</f>
        <v>193</v>
      </c>
      <c r="J18" s="615">
        <v>40</v>
      </c>
      <c r="K18" s="1237" t="s">
        <v>313</v>
      </c>
      <c r="L18" s="615">
        <v>24</v>
      </c>
      <c r="M18" s="727">
        <v>34</v>
      </c>
      <c r="N18" s="615">
        <v>1</v>
      </c>
      <c r="O18" s="727">
        <v>40</v>
      </c>
      <c r="P18" s="727">
        <v>34</v>
      </c>
      <c r="Q18" s="1237" t="s">
        <v>313</v>
      </c>
      <c r="R18" s="1237">
        <v>30</v>
      </c>
      <c r="S18" s="727"/>
      <c r="T18" s="727"/>
      <c r="U18" s="1237" t="s">
        <v>313</v>
      </c>
      <c r="V18" s="727">
        <v>20</v>
      </c>
      <c r="W18" s="231">
        <f t="shared" si="2"/>
        <v>8</v>
      </c>
      <c r="X18" s="231">
        <f t="shared" si="3"/>
        <v>5</v>
      </c>
      <c r="Y18" s="231">
        <f t="shared" si="4"/>
        <v>2</v>
      </c>
      <c r="Z18" s="727">
        <f t="shared" si="5"/>
        <v>0</v>
      </c>
      <c r="AA18" s="727">
        <f t="shared" si="6"/>
        <v>1</v>
      </c>
      <c r="AB18" s="727">
        <f t="shared" si="7"/>
        <v>2</v>
      </c>
    </row>
    <row r="19" spans="1:28" x14ac:dyDescent="0.2">
      <c r="A19" s="40">
        <f t="shared" si="0"/>
        <v>12</v>
      </c>
      <c r="B19" s="1297">
        <v>12</v>
      </c>
      <c r="C19" s="418"/>
      <c r="D19" s="507">
        <v>1</v>
      </c>
      <c r="E19" s="604" t="s">
        <v>50</v>
      </c>
      <c r="F19" s="1295">
        <v>186</v>
      </c>
      <c r="G19" s="16">
        <f t="shared" si="1"/>
        <v>186.001112100201</v>
      </c>
      <c r="H19" s="39">
        <f t="shared" si="8"/>
        <v>1.1121002010010003E-3</v>
      </c>
      <c r="I19" s="16">
        <f t="array" ref="I19">(IF(COUNT(L19,N19,Q19,U19,V19)&lt;3,SUM(L19,N19,Q19,U19,V19),SUM(LARGE((L19,N19,Q19,U19,V19),{1;2;3}))))+(IF(COUNT(K19,O19,S19,T19)&lt;3,SUM(K19,O19,S19,T19),SUM(LARGE((K19,O19,S19,T19),{1;2;3}))))+(IF(COUNT(J19,M19,P19,R19)&lt;3,SUM(J19,M19,P19,R19),SUM(LARGE((J19,M19,P19,R19),{1;2;3}))))</f>
        <v>186</v>
      </c>
      <c r="J19" s="615">
        <v>30</v>
      </c>
      <c r="K19" s="727">
        <v>34</v>
      </c>
      <c r="L19" s="615">
        <v>12</v>
      </c>
      <c r="M19" s="727">
        <v>26</v>
      </c>
      <c r="N19" s="727">
        <v>6</v>
      </c>
      <c r="O19" s="1237" t="s">
        <v>313</v>
      </c>
      <c r="P19" s="1237">
        <v>24</v>
      </c>
      <c r="Q19" s="727">
        <v>22</v>
      </c>
      <c r="R19" s="727">
        <v>24</v>
      </c>
      <c r="S19" s="727">
        <v>16</v>
      </c>
      <c r="T19" s="727">
        <v>16</v>
      </c>
      <c r="U19" s="1237" t="s">
        <v>313</v>
      </c>
      <c r="V19" s="727"/>
      <c r="W19" s="231">
        <f t="shared" si="2"/>
        <v>10</v>
      </c>
      <c r="X19" s="231">
        <f t="shared" si="3"/>
        <v>2</v>
      </c>
      <c r="Y19" s="231">
        <f t="shared" si="4"/>
        <v>0</v>
      </c>
      <c r="Z19" s="727">
        <f t="shared" si="5"/>
        <v>0</v>
      </c>
      <c r="AA19" s="727">
        <f t="shared" si="6"/>
        <v>1</v>
      </c>
      <c r="AB19" s="727">
        <f t="shared" si="7"/>
        <v>1</v>
      </c>
    </row>
    <row r="20" spans="1:28" x14ac:dyDescent="0.2">
      <c r="A20" s="40">
        <f t="shared" si="0"/>
        <v>13</v>
      </c>
      <c r="B20" s="1297">
        <v>13</v>
      </c>
      <c r="C20" s="506"/>
      <c r="D20" s="508"/>
      <c r="E20" s="913" t="s">
        <v>59</v>
      </c>
      <c r="F20" s="1295">
        <v>184</v>
      </c>
      <c r="G20" s="16">
        <f t="shared" si="1"/>
        <v>184.002001230101</v>
      </c>
      <c r="H20" s="39">
        <f t="shared" si="8"/>
        <v>2.0012301010000001E-3</v>
      </c>
      <c r="I20" s="16">
        <f t="array" ref="I20">(IF(COUNT(L20,N20,Q20,U20,V20)&lt;3,SUM(L20,N20,Q20,U20,V20),SUM(LARGE((L20,N20,Q20,U20,V20),{1;2;3}))))+(IF(COUNT(K20,O20,S20,T20)&lt;3,SUM(K20,O20,S20,T20),SUM(LARGE((K20,O20,S20,T20),{1;2;3}))))+(IF(COUNT(J20,M20,P20,R20)&lt;3,SUM(J20,M20,P20,R20),SUM(LARGE((J20,M20,P20,R20),{1;2;3}))))</f>
        <v>184</v>
      </c>
      <c r="J20" s="615">
        <v>24</v>
      </c>
      <c r="K20" s="1238">
        <v>20</v>
      </c>
      <c r="L20" s="615">
        <v>16</v>
      </c>
      <c r="M20" s="615">
        <v>22</v>
      </c>
      <c r="N20" s="727">
        <v>12</v>
      </c>
      <c r="O20" s="727">
        <v>20</v>
      </c>
      <c r="P20" s="1238">
        <v>20</v>
      </c>
      <c r="Q20" s="1237" t="s">
        <v>313</v>
      </c>
      <c r="R20" s="727">
        <v>34</v>
      </c>
      <c r="S20" s="727">
        <v>22</v>
      </c>
      <c r="T20" s="727">
        <v>34</v>
      </c>
      <c r="U20" s="1237" t="s">
        <v>313</v>
      </c>
      <c r="V20" s="727"/>
      <c r="W20" s="231">
        <f t="shared" si="2"/>
        <v>10</v>
      </c>
      <c r="X20" s="231">
        <f t="shared" si="3"/>
        <v>2</v>
      </c>
      <c r="Y20" s="231">
        <f t="shared" si="4"/>
        <v>0</v>
      </c>
      <c r="Z20" s="727">
        <f t="shared" si="5"/>
        <v>0</v>
      </c>
      <c r="AA20" s="727">
        <f t="shared" si="6"/>
        <v>0</v>
      </c>
      <c r="AB20" s="727">
        <f t="shared" si="7"/>
        <v>2</v>
      </c>
    </row>
    <row r="21" spans="1:28" x14ac:dyDescent="0.2">
      <c r="A21" s="40">
        <f t="shared" si="0"/>
        <v>14</v>
      </c>
      <c r="B21" s="1297">
        <v>14</v>
      </c>
      <c r="C21" s="418"/>
      <c r="D21" s="507"/>
      <c r="E21" s="911" t="s">
        <v>55</v>
      </c>
      <c r="F21" s="1295">
        <v>172</v>
      </c>
      <c r="G21" s="16">
        <f t="shared" si="1"/>
        <v>172.00201110111101</v>
      </c>
      <c r="H21" s="39">
        <f t="shared" si="8"/>
        <v>2.0111011109999999E-3</v>
      </c>
      <c r="I21" s="16">
        <f t="array" ref="I21">(IF(COUNT(L21,N21,Q21,U21,V21)&lt;3,SUM(L21,N21,Q21,U21,V21),SUM(LARGE((L21,N21,Q21,U21,V21),{1;2;3}))))+(IF(COUNT(K21,O21,S21,T21)&lt;3,SUM(K21,O21,S21,T21),SUM(LARGE((K21,O21,S21,T21),{1;2;3}))))+(IF(COUNT(J21,M21,P21,R21)&lt;3,SUM(J21,M21,P21,R21),SUM(LARGE((J21,M21,P21,R21),{1;2;3}))))</f>
        <v>172</v>
      </c>
      <c r="J21" s="615">
        <v>34</v>
      </c>
      <c r="K21" s="1237">
        <v>12</v>
      </c>
      <c r="L21" s="615">
        <v>1</v>
      </c>
      <c r="M21" s="727">
        <v>24</v>
      </c>
      <c r="N21" s="615">
        <v>1</v>
      </c>
      <c r="O21" s="727">
        <v>22</v>
      </c>
      <c r="P21" s="615">
        <v>26</v>
      </c>
      <c r="Q21" s="615">
        <v>16</v>
      </c>
      <c r="R21" s="1237">
        <v>18</v>
      </c>
      <c r="S21" s="727">
        <v>34</v>
      </c>
      <c r="T21" s="727">
        <v>14</v>
      </c>
      <c r="U21" s="1237" t="s">
        <v>313</v>
      </c>
      <c r="V21" s="727"/>
      <c r="W21" s="231">
        <f t="shared" si="2"/>
        <v>11</v>
      </c>
      <c r="X21" s="231">
        <f t="shared" si="3"/>
        <v>2</v>
      </c>
      <c r="Y21" s="231">
        <f t="shared" si="4"/>
        <v>0</v>
      </c>
      <c r="Z21" s="727">
        <f t="shared" si="5"/>
        <v>0</v>
      </c>
      <c r="AA21" s="727">
        <f t="shared" si="6"/>
        <v>0</v>
      </c>
      <c r="AB21" s="727">
        <f t="shared" si="7"/>
        <v>1</v>
      </c>
    </row>
    <row r="22" spans="1:28" x14ac:dyDescent="0.2">
      <c r="A22" s="40">
        <f t="shared" si="0"/>
        <v>15</v>
      </c>
      <c r="B22" s="1297">
        <v>15</v>
      </c>
      <c r="C22" s="418"/>
      <c r="D22" s="507"/>
      <c r="E22" s="913" t="s">
        <v>54</v>
      </c>
      <c r="F22" s="1295">
        <v>170</v>
      </c>
      <c r="G22" s="16">
        <f t="shared" si="1"/>
        <v>170.0101000120101</v>
      </c>
      <c r="H22" s="39">
        <f t="shared" si="8"/>
        <v>1.0100012010100001E-2</v>
      </c>
      <c r="I22" s="16">
        <f t="array" ref="I22">(IF(COUNT(L22,N22,Q22,U22,V22)&lt;3,SUM(L22,N22,Q22,U22,V22),SUM(LARGE((L22,N22,Q22,U22,V22),{1;2;3}))))+(IF(COUNT(K22,O22,S22,T22)&lt;3,SUM(K22,O22,S22,T22),SUM(LARGE((K22,O22,S22,T22),{1;2;3}))))+(IF(COUNT(J22,M22,P22,R22)&lt;3,SUM(J22,M22,P22,R22),SUM(LARGE((J22,M22,P22,R22),{1;2;3}))))</f>
        <v>170</v>
      </c>
      <c r="J22" s="615">
        <v>18</v>
      </c>
      <c r="K22" s="615">
        <v>14</v>
      </c>
      <c r="L22" s="1237">
        <v>1</v>
      </c>
      <c r="M22" s="727">
        <v>30</v>
      </c>
      <c r="N22" s="1237">
        <v>1</v>
      </c>
      <c r="O22" s="1237" t="s">
        <v>313</v>
      </c>
      <c r="P22" s="727">
        <v>40</v>
      </c>
      <c r="Q22" s="615">
        <v>1</v>
      </c>
      <c r="R22" s="1237" t="s">
        <v>313</v>
      </c>
      <c r="S22" s="615">
        <v>20</v>
      </c>
      <c r="T22" s="727">
        <v>10</v>
      </c>
      <c r="U22" s="727">
        <v>19</v>
      </c>
      <c r="V22" s="727">
        <v>18</v>
      </c>
      <c r="W22" s="231">
        <f t="shared" si="2"/>
        <v>11</v>
      </c>
      <c r="X22" s="231">
        <f t="shared" si="3"/>
        <v>2</v>
      </c>
      <c r="Y22" s="231">
        <f t="shared" si="4"/>
        <v>1</v>
      </c>
      <c r="Z22" s="727">
        <f t="shared" si="5"/>
        <v>1</v>
      </c>
      <c r="AA22" s="727">
        <f t="shared" si="6"/>
        <v>1</v>
      </c>
      <c r="AB22" s="727">
        <f t="shared" si="7"/>
        <v>0</v>
      </c>
    </row>
    <row r="23" spans="1:28" x14ac:dyDescent="0.2">
      <c r="A23" s="40">
        <f t="shared" si="0"/>
        <v>16</v>
      </c>
      <c r="B23" s="1297">
        <v>16</v>
      </c>
      <c r="C23" s="418"/>
      <c r="D23" s="507"/>
      <c r="E23" s="911" t="s">
        <v>57</v>
      </c>
      <c r="F23" s="1295">
        <v>160</v>
      </c>
      <c r="G23" s="16">
        <f t="shared" si="1"/>
        <v>160.0011210000001</v>
      </c>
      <c r="H23" s="39">
        <f t="shared" si="8"/>
        <v>1.1210000001000001E-3</v>
      </c>
      <c r="I23" s="16">
        <f t="array" ref="I23">(IF(COUNT(L23,N23,Q23,U23,V23)&lt;3,SUM(L23,N23,Q23,U23,V23),SUM(LARGE((L23,N23,Q23,U23,V23),{1;2;3}))))+(IF(COUNT(K23,O23,S23,T23)&lt;3,SUM(K23,O23,S23,T23),SUM(LARGE((K23,O23,S23,T23),{1;2;3}))))+(IF(COUNT(J23,M23,P23,R23)&lt;3,SUM(J23,M23,P23,R23),SUM(LARGE((J23,M23,P23,R23),{1;2;3}))))</f>
        <v>160</v>
      </c>
      <c r="J23" s="727">
        <v>34</v>
      </c>
      <c r="K23" s="727">
        <v>30</v>
      </c>
      <c r="L23" s="1238" t="s">
        <v>313</v>
      </c>
      <c r="M23" s="727">
        <v>24</v>
      </c>
      <c r="N23" s="615">
        <v>1</v>
      </c>
      <c r="O23" s="727">
        <v>26</v>
      </c>
      <c r="P23" s="615">
        <v>26</v>
      </c>
      <c r="Q23" s="1237" t="s">
        <v>313</v>
      </c>
      <c r="R23" s="1237" t="s">
        <v>313</v>
      </c>
      <c r="S23" s="1237" t="s">
        <v>313</v>
      </c>
      <c r="T23" s="727"/>
      <c r="U23" s="727">
        <v>9</v>
      </c>
      <c r="V23" s="727">
        <v>10</v>
      </c>
      <c r="W23" s="231">
        <f t="shared" si="2"/>
        <v>8</v>
      </c>
      <c r="X23" s="231">
        <f t="shared" si="3"/>
        <v>2</v>
      </c>
      <c r="Y23" s="231">
        <f t="shared" si="4"/>
        <v>0</v>
      </c>
      <c r="Z23" s="727">
        <f t="shared" si="5"/>
        <v>1</v>
      </c>
      <c r="AA23" s="727">
        <f t="shared" si="6"/>
        <v>1</v>
      </c>
      <c r="AB23" s="727">
        <f t="shared" si="7"/>
        <v>2</v>
      </c>
    </row>
    <row r="24" spans="1:28" x14ac:dyDescent="0.2">
      <c r="A24" s="40">
        <f t="shared" si="0"/>
        <v>17</v>
      </c>
      <c r="B24" s="1297">
        <v>17</v>
      </c>
      <c r="C24" s="418">
        <v>2</v>
      </c>
      <c r="D24" s="507"/>
      <c r="E24" s="418" t="s">
        <v>339</v>
      </c>
      <c r="F24" s="1295">
        <v>160</v>
      </c>
      <c r="G24" s="16">
        <f t="shared" si="1"/>
        <v>160.00021021000111</v>
      </c>
      <c r="H24" s="39">
        <f t="shared" si="8"/>
        <v>2.10210001121E-4</v>
      </c>
      <c r="I24" s="16">
        <f t="array" ref="I24">(IF(COUNT(L24,N24,Q24,U24,V24)&lt;3,SUM(L24,N24,Q24,U24,V24),SUM(LARGE((L24,N24,Q24,U24,V24),{1;2;3}))))+(IF(COUNT(K24,O24,S24,T24)&lt;3,SUM(K24,O24,S24,T24),SUM(LARGE((K24,O24,S24,T24),{1;2;3}))))+(IF(COUNT(J24,M24,P24,R24)&lt;3,SUM(J24,M24,P24,R24),SUM(LARGE((J24,M24,P24,R24),{1;2;3}))))</f>
        <v>160</v>
      </c>
      <c r="J24" s="615">
        <v>22</v>
      </c>
      <c r="K24" s="1237" t="s">
        <v>313</v>
      </c>
      <c r="L24" s="1238">
        <v>8</v>
      </c>
      <c r="M24" s="1238">
        <v>20</v>
      </c>
      <c r="N24" s="727">
        <v>8</v>
      </c>
      <c r="O24" s="727"/>
      <c r="P24" s="615">
        <v>22</v>
      </c>
      <c r="Q24" s="615">
        <v>10</v>
      </c>
      <c r="R24" s="615">
        <v>26</v>
      </c>
      <c r="S24" s="615">
        <v>30</v>
      </c>
      <c r="T24" s="727">
        <v>30</v>
      </c>
      <c r="U24" s="727">
        <v>12</v>
      </c>
      <c r="V24" s="1237">
        <v>6</v>
      </c>
      <c r="W24" s="231">
        <f t="shared" si="2"/>
        <v>11</v>
      </c>
      <c r="X24" s="231">
        <f t="shared" si="3"/>
        <v>2</v>
      </c>
      <c r="Y24" s="231">
        <f t="shared" si="4"/>
        <v>0</v>
      </c>
      <c r="Z24" s="727">
        <f t="shared" si="5"/>
        <v>0</v>
      </c>
      <c r="AA24" s="727">
        <f t="shared" si="6"/>
        <v>1</v>
      </c>
      <c r="AB24" s="727">
        <f t="shared" si="7"/>
        <v>0</v>
      </c>
    </row>
    <row r="25" spans="1:28" s="232" customFormat="1" x14ac:dyDescent="0.2">
      <c r="A25" s="40">
        <f t="shared" si="0"/>
        <v>18</v>
      </c>
      <c r="B25" s="1298">
        <v>18</v>
      </c>
      <c r="C25" s="418"/>
      <c r="D25" s="507"/>
      <c r="E25" s="911" t="s">
        <v>52</v>
      </c>
      <c r="F25" s="1295">
        <v>154</v>
      </c>
      <c r="G25" s="16">
        <f t="shared" si="1"/>
        <v>154.03100000000001</v>
      </c>
      <c r="H25" s="39">
        <f t="shared" si="8"/>
        <v>3.1E-2</v>
      </c>
      <c r="I25" s="16">
        <f t="array" ref="I25">(IF(COUNT(L25,N25,Q25,U25,V25)&lt;3,SUM(L25,N25,Q25,U25,V25),SUM(LARGE((L25,N25,Q25,U25,V25),{1;2;3}))))+(IF(COUNT(K25,O25,S25,T25)&lt;3,SUM(K25,O25,S25,T25),SUM(LARGE((K25,O25,S25,T25),{1;2;3}))))+(IF(COUNT(J25,M25,P25,R25)&lt;3,SUM(J25,M25,P25,R25),SUM(LARGE((J25,M25,P25,R25),{1;2;3}))))</f>
        <v>154</v>
      </c>
      <c r="J25" s="1238" t="s">
        <v>313</v>
      </c>
      <c r="K25" s="727">
        <v>40</v>
      </c>
      <c r="L25" s="1238" t="s">
        <v>313</v>
      </c>
      <c r="M25" s="727"/>
      <c r="N25" s="1238" t="s">
        <v>313</v>
      </c>
      <c r="O25" s="727">
        <v>40</v>
      </c>
      <c r="P25" s="727"/>
      <c r="Q25" s="727"/>
      <c r="R25" s="727"/>
      <c r="S25" s="727">
        <v>40</v>
      </c>
      <c r="T25" s="1237" t="s">
        <v>313</v>
      </c>
      <c r="U25" s="727">
        <v>34</v>
      </c>
      <c r="V25" s="727"/>
      <c r="W25" s="231">
        <f t="shared" si="2"/>
        <v>4</v>
      </c>
      <c r="X25" s="231">
        <f t="shared" si="3"/>
        <v>4</v>
      </c>
      <c r="Y25" s="231">
        <f t="shared" si="4"/>
        <v>3</v>
      </c>
      <c r="Z25" s="727">
        <f t="shared" si="5"/>
        <v>1</v>
      </c>
      <c r="AA25" s="727">
        <f t="shared" si="6"/>
        <v>1</v>
      </c>
      <c r="AB25" s="727">
        <f t="shared" si="7"/>
        <v>2</v>
      </c>
    </row>
    <row r="26" spans="1:28" s="232" customFormat="1" x14ac:dyDescent="0.2">
      <c r="A26" s="40">
        <f t="shared" si="0"/>
        <v>19</v>
      </c>
      <c r="B26" s="1298">
        <v>19</v>
      </c>
      <c r="C26" s="506"/>
      <c r="D26" s="508"/>
      <c r="E26" s="922" t="s">
        <v>60</v>
      </c>
      <c r="F26" s="1295">
        <v>148</v>
      </c>
      <c r="G26" s="16">
        <f t="shared" si="1"/>
        <v>148.010100101012</v>
      </c>
      <c r="H26" s="39">
        <f t="shared" si="8"/>
        <v>1.0100101012E-2</v>
      </c>
      <c r="I26" s="16">
        <f t="array" ref="I26">(IF(COUNT(L26,N26,Q26,U26,V26)&lt;3,SUM(L26,N26,Q26,U26,V26),SUM(LARGE((L26,N26,Q26,U26,V26),{1;2;3}))))+(IF(COUNT(K26,O26,S26,T26)&lt;3,SUM(K26,O26,S26,T26),SUM(LARGE((K26,O26,S26,T26),{1;2;3}))))+(IF(COUNT(J26,M26,P26,R26)&lt;3,SUM(J26,M26,P26,R26),SUM(LARGE((J26,M26,P26,R26),{1;2;3}))))</f>
        <v>148</v>
      </c>
      <c r="J26" s="1238" t="s">
        <v>313</v>
      </c>
      <c r="K26" s="727">
        <v>14</v>
      </c>
      <c r="L26" s="615">
        <v>22</v>
      </c>
      <c r="M26" s="615">
        <v>30</v>
      </c>
      <c r="N26" s="727">
        <v>18</v>
      </c>
      <c r="O26" s="1237" t="s">
        <v>313</v>
      </c>
      <c r="P26" s="727">
        <v>40</v>
      </c>
      <c r="Q26" s="727">
        <v>12</v>
      </c>
      <c r="R26" s="727"/>
      <c r="S26" s="727"/>
      <c r="T26" s="727">
        <v>12</v>
      </c>
      <c r="U26" s="1237" t="s">
        <v>313</v>
      </c>
      <c r="V26" s="727"/>
      <c r="W26" s="231">
        <f t="shared" si="2"/>
        <v>7</v>
      </c>
      <c r="X26" s="231">
        <f t="shared" si="3"/>
        <v>2</v>
      </c>
      <c r="Y26" s="231">
        <f t="shared" si="4"/>
        <v>1</v>
      </c>
      <c r="Z26" s="727">
        <f t="shared" si="5"/>
        <v>1</v>
      </c>
      <c r="AA26" s="727">
        <f t="shared" si="6"/>
        <v>1</v>
      </c>
      <c r="AB26" s="727">
        <f t="shared" si="7"/>
        <v>1</v>
      </c>
    </row>
    <row r="27" spans="1:28" x14ac:dyDescent="0.2">
      <c r="A27" s="40">
        <f t="shared" si="0"/>
        <v>20</v>
      </c>
      <c r="B27" s="1297">
        <v>20</v>
      </c>
      <c r="C27" s="418"/>
      <c r="D27" s="507"/>
      <c r="E27" s="760" t="s">
        <v>65</v>
      </c>
      <c r="F27" s="1295">
        <v>138</v>
      </c>
      <c r="G27" s="16">
        <f t="shared" si="1"/>
        <v>138.0000101123</v>
      </c>
      <c r="H27" s="39">
        <f t="shared" si="8"/>
        <v>1.0112300000000001E-5</v>
      </c>
      <c r="I27" s="16">
        <f t="array" ref="I27">(IF(COUNT(L27,N27,Q27,U27,V27)&lt;3,SUM(L27,N27,Q27,U27,V27),SUM(LARGE((L27,N27,Q27,U27,V27),{1;2;3}))))+(IF(COUNT(K27,O27,S27,T27)&lt;3,SUM(K27,O27,S27,T27),SUM(LARGE((K27,O27,S27,T27),{1;2;3}))))+(IF(COUNT(J27,M27,P27,R27)&lt;3,SUM(J27,M27,P27,R27),SUM(LARGE((J27,M27,P27,R27),{1;2;3}))))</f>
        <v>138</v>
      </c>
      <c r="J27" s="615">
        <v>26</v>
      </c>
      <c r="K27" s="727">
        <v>18</v>
      </c>
      <c r="L27" s="615">
        <v>1</v>
      </c>
      <c r="M27" s="1237">
        <v>16</v>
      </c>
      <c r="N27" s="727">
        <v>1</v>
      </c>
      <c r="O27" s="727">
        <v>16</v>
      </c>
      <c r="P27" s="727">
        <v>16</v>
      </c>
      <c r="Q27" s="727">
        <v>18</v>
      </c>
      <c r="R27" s="727">
        <v>20</v>
      </c>
      <c r="S27" s="1237" t="s">
        <v>313</v>
      </c>
      <c r="T27" s="727">
        <v>22</v>
      </c>
      <c r="U27" s="1237" t="s">
        <v>313</v>
      </c>
      <c r="V27" s="727"/>
      <c r="W27" s="231">
        <f t="shared" si="2"/>
        <v>10</v>
      </c>
      <c r="X27" s="231">
        <f t="shared" si="3"/>
        <v>0</v>
      </c>
      <c r="Y27" s="231">
        <f t="shared" si="4"/>
        <v>0</v>
      </c>
      <c r="Z27" s="727">
        <f t="shared" si="5"/>
        <v>0</v>
      </c>
      <c r="AA27" s="727">
        <f t="shared" si="6"/>
        <v>1</v>
      </c>
      <c r="AB27" s="727">
        <f t="shared" si="7"/>
        <v>1</v>
      </c>
    </row>
    <row r="28" spans="1:28" s="232" customFormat="1" x14ac:dyDescent="0.2">
      <c r="A28" s="40">
        <f t="shared" si="0"/>
        <v>21</v>
      </c>
      <c r="B28" s="1298">
        <v>21</v>
      </c>
      <c r="C28" s="506"/>
      <c r="D28" s="508"/>
      <c r="E28" s="1208" t="s">
        <v>68</v>
      </c>
      <c r="F28" s="1295">
        <v>131</v>
      </c>
      <c r="G28" s="16">
        <f t="shared" si="1"/>
        <v>131.000011121</v>
      </c>
      <c r="H28" s="39">
        <f t="shared" si="8"/>
        <v>1.1121000000000002E-5</v>
      </c>
      <c r="I28" s="16">
        <f t="array" ref="I28">(IF(COUNT(L28,N28,Q28,U28,V28)&lt;3,SUM(L28,N28,Q28,U28,V28),SUM(LARGE((L28,N28,Q28,U28,V28),{1;2;3}))))+(IF(COUNT(K28,O28,S28,T28)&lt;3,SUM(K28,O28,S28,T28),SUM(LARGE((K28,O28,S28,T28),{1;2;3}))))+(IF(COUNT(J28,M28,P28,R28)&lt;3,SUM(J28,M28,P28,R28),SUM(LARGE((J28,M28,P28,R28),{1;2;3}))))</f>
        <v>131</v>
      </c>
      <c r="J28" s="1238" t="s">
        <v>313</v>
      </c>
      <c r="K28" s="1237" t="s">
        <v>313</v>
      </c>
      <c r="L28" s="1238" t="s">
        <v>313</v>
      </c>
      <c r="M28" s="615"/>
      <c r="N28" s="1238" t="s">
        <v>313</v>
      </c>
      <c r="O28" s="615">
        <v>22</v>
      </c>
      <c r="P28" s="727">
        <v>20</v>
      </c>
      <c r="Q28" s="727"/>
      <c r="R28" s="727">
        <v>18</v>
      </c>
      <c r="S28" s="727">
        <v>20</v>
      </c>
      <c r="T28" s="727">
        <v>24</v>
      </c>
      <c r="U28" s="727">
        <v>26</v>
      </c>
      <c r="V28" s="727">
        <v>1</v>
      </c>
      <c r="W28" s="231">
        <f t="shared" si="2"/>
        <v>7</v>
      </c>
      <c r="X28" s="231">
        <f t="shared" si="3"/>
        <v>0</v>
      </c>
      <c r="Y28" s="231">
        <f t="shared" si="4"/>
        <v>0</v>
      </c>
      <c r="Z28" s="727">
        <f t="shared" si="5"/>
        <v>1</v>
      </c>
      <c r="AA28" s="727">
        <f t="shared" si="6"/>
        <v>1</v>
      </c>
      <c r="AB28" s="727">
        <f t="shared" si="7"/>
        <v>2</v>
      </c>
    </row>
    <row r="29" spans="1:28" x14ac:dyDescent="0.2">
      <c r="A29" s="40">
        <f t="shared" si="0"/>
        <v>22</v>
      </c>
      <c r="B29" s="1297">
        <v>22</v>
      </c>
      <c r="C29" s="506"/>
      <c r="D29" s="508"/>
      <c r="E29" s="728" t="s">
        <v>56</v>
      </c>
      <c r="F29" s="1295">
        <v>130</v>
      </c>
      <c r="G29" s="16">
        <f t="shared" si="1"/>
        <v>130.0000101113001</v>
      </c>
      <c r="H29" s="39">
        <f t="shared" si="8"/>
        <v>1.0111300100000003E-5</v>
      </c>
      <c r="I29" s="16">
        <f t="array" ref="I29">(IF(COUNT(L29,N29,Q29,U29,V29)&lt;3,SUM(L29,N29,Q29,U29,V29),SUM(LARGE((L29,N29,Q29,U29,V29),{1;2;3}))))+(IF(COUNT(K29,O29,S29,T29)&lt;3,SUM(K29,O29,S29,T29),SUM(LARGE((K29,O29,S29,T29),{1;2;3}))))+(IF(COUNT(J29,M29,P29,R29)&lt;3,SUM(J29,M29,P29,R29),SUM(LARGE((J29,M29,P29,R29),{1;2;3}))))</f>
        <v>130</v>
      </c>
      <c r="J29" s="615">
        <v>26</v>
      </c>
      <c r="K29" s="615">
        <v>18</v>
      </c>
      <c r="L29" s="727">
        <v>1</v>
      </c>
      <c r="M29" s="1238">
        <v>16</v>
      </c>
      <c r="N29" s="727">
        <v>10</v>
      </c>
      <c r="O29" s="727">
        <v>16</v>
      </c>
      <c r="P29" s="727">
        <v>16</v>
      </c>
      <c r="Q29" s="727">
        <v>1</v>
      </c>
      <c r="R29" s="727">
        <v>20</v>
      </c>
      <c r="S29" s="1237" t="s">
        <v>313</v>
      </c>
      <c r="T29" s="727">
        <v>22</v>
      </c>
      <c r="U29" s="1237" t="s">
        <v>313</v>
      </c>
      <c r="V29" s="727"/>
      <c r="W29" s="231">
        <f t="shared" si="2"/>
        <v>10</v>
      </c>
      <c r="X29" s="231">
        <f t="shared" si="3"/>
        <v>0</v>
      </c>
      <c r="Y29" s="231">
        <f t="shared" si="4"/>
        <v>0</v>
      </c>
      <c r="Z29" s="727">
        <f t="shared" si="5"/>
        <v>0</v>
      </c>
      <c r="AA29" s="727">
        <f t="shared" si="6"/>
        <v>1</v>
      </c>
      <c r="AB29" s="727">
        <f t="shared" si="7"/>
        <v>1</v>
      </c>
    </row>
    <row r="30" spans="1:28" x14ac:dyDescent="0.2">
      <c r="A30" s="40">
        <f t="shared" si="0"/>
        <v>23</v>
      </c>
      <c r="B30" s="1297">
        <v>23</v>
      </c>
      <c r="C30" s="418"/>
      <c r="D30" s="507"/>
      <c r="E30" s="922" t="s">
        <v>53</v>
      </c>
      <c r="F30" s="1295">
        <v>120</v>
      </c>
      <c r="G30" s="16">
        <f t="shared" si="1"/>
        <v>120.02010010000001</v>
      </c>
      <c r="H30" s="39">
        <f t="shared" si="8"/>
        <v>2.0100100000001099E-2</v>
      </c>
      <c r="I30" s="16">
        <f t="array" ref="I30">(IF(COUNT(L30,N30,Q30,U30,V30)&lt;3,SUM(L30,N30,Q30,U30,V30),SUM(LARGE((L30,N30,Q30,U30,V30),{1;2;3}))))+(IF(COUNT(K30,O30,S30,T30)&lt;3,SUM(K30,O30,S30,T30),SUM(LARGE((K30,O30,S30,T30),{1;2;3}))))+(IF(COUNT(J30,M30,P30,R30)&lt;3,SUM(J30,M30,P30,R30),SUM(LARGE((J30,M30,P30,R30),{1;2;3}))))</f>
        <v>120</v>
      </c>
      <c r="J30" s="1238">
        <v>22</v>
      </c>
      <c r="K30" s="1237" t="s">
        <v>313</v>
      </c>
      <c r="L30" s="1238" t="s">
        <v>313</v>
      </c>
      <c r="M30" s="727">
        <v>40</v>
      </c>
      <c r="N30" s="727">
        <v>4</v>
      </c>
      <c r="O30" s="727"/>
      <c r="P30" s="727">
        <v>30</v>
      </c>
      <c r="Q30" s="727">
        <v>6</v>
      </c>
      <c r="R30" s="727">
        <v>40</v>
      </c>
      <c r="S30" s="727"/>
      <c r="T30" s="727"/>
      <c r="U30" s="1237" t="s">
        <v>313</v>
      </c>
      <c r="V30" s="727"/>
      <c r="W30" s="231">
        <f t="shared" si="2"/>
        <v>6</v>
      </c>
      <c r="X30" s="231">
        <f t="shared" si="3"/>
        <v>3</v>
      </c>
      <c r="Y30" s="231">
        <f t="shared" si="4"/>
        <v>2</v>
      </c>
      <c r="Z30" s="727">
        <f t="shared" si="5"/>
        <v>0</v>
      </c>
      <c r="AA30" s="727">
        <f t="shared" si="6"/>
        <v>1</v>
      </c>
      <c r="AB30" s="727">
        <f t="shared" si="7"/>
        <v>2</v>
      </c>
    </row>
    <row r="31" spans="1:28" x14ac:dyDescent="0.2">
      <c r="A31" s="40">
        <f t="shared" si="0"/>
        <v>24</v>
      </c>
      <c r="B31" s="1297">
        <v>24</v>
      </c>
      <c r="C31" s="418">
        <v>3</v>
      </c>
      <c r="D31" s="507"/>
      <c r="E31" s="419" t="s">
        <v>61</v>
      </c>
      <c r="F31" s="1295">
        <v>106</v>
      </c>
      <c r="G31" s="16">
        <f t="shared" si="1"/>
        <v>106.00000113</v>
      </c>
      <c r="H31" s="39">
        <f t="shared" si="8"/>
        <v>1.13E-6</v>
      </c>
      <c r="I31" s="16">
        <f t="array" ref="I31">(IF(COUNT(L31,N31,Q31,U31,V31)&lt;3,SUM(L31,N31,Q31,U31,V31),SUM(LARGE((L31,N31,Q31,U31,V31),{1;2;3}))))+(IF(COUNT(K31,O31,S31,T31)&lt;3,SUM(K31,O31,S31,T31),SUM(LARGE((K31,O31,S31,T31),{1;2;3}))))+(IF(COUNT(J31,M31,P31,R31)&lt;3,SUM(J31,M31,P31,R31),SUM(LARGE((J31,M31,P31,R31),{1;2;3}))))</f>
        <v>106</v>
      </c>
      <c r="J31" s="615">
        <v>20</v>
      </c>
      <c r="K31" s="727">
        <v>22</v>
      </c>
      <c r="L31" s="1238" t="s">
        <v>313</v>
      </c>
      <c r="M31" s="727">
        <v>20</v>
      </c>
      <c r="N31" s="1238" t="s">
        <v>313</v>
      </c>
      <c r="O31" s="1237" t="s">
        <v>313</v>
      </c>
      <c r="P31" s="1238" t="s">
        <v>313</v>
      </c>
      <c r="Q31" s="727"/>
      <c r="R31" s="727"/>
      <c r="S31" s="727">
        <v>24</v>
      </c>
      <c r="T31" s="727">
        <v>20</v>
      </c>
      <c r="U31" s="1237" t="s">
        <v>313</v>
      </c>
      <c r="V31" s="727"/>
      <c r="W31" s="231">
        <f t="shared" si="2"/>
        <v>5</v>
      </c>
      <c r="X31" s="231">
        <f t="shared" si="3"/>
        <v>0</v>
      </c>
      <c r="Y31" s="231">
        <f t="shared" si="4"/>
        <v>0</v>
      </c>
      <c r="Z31" s="727">
        <f t="shared" si="5"/>
        <v>1</v>
      </c>
      <c r="AA31" s="727">
        <f t="shared" si="6"/>
        <v>1</v>
      </c>
      <c r="AB31" s="727">
        <f t="shared" si="7"/>
        <v>3</v>
      </c>
    </row>
    <row r="32" spans="1:28" s="232" customFormat="1" x14ac:dyDescent="0.2">
      <c r="A32" s="40">
        <f t="shared" si="0"/>
        <v>25</v>
      </c>
      <c r="B32" s="1297">
        <v>25</v>
      </c>
      <c r="C32" s="506"/>
      <c r="D32" s="508"/>
      <c r="E32" s="1208" t="s">
        <v>63</v>
      </c>
      <c r="F32" s="1295">
        <v>104</v>
      </c>
      <c r="G32" s="16">
        <f t="shared" si="1"/>
        <v>104.01010000100101</v>
      </c>
      <c r="H32" s="39">
        <f t="shared" si="8"/>
        <v>1.010000100100002E-2</v>
      </c>
      <c r="I32" s="16">
        <f t="array" ref="I32">(IF(COUNT(L32,N32,Q32,U32,V32)&lt;3,SUM(L32,N32,Q32,U32,V32),SUM(LARGE((L32,N32,Q32,U32,V32),{1;2;3}))))+(IF(COUNT(K32,O32,S32,T32)&lt;3,SUM(K32,O32,S32,T32),SUM(LARGE((K32,O32,S32,T32),{1;2;3}))))+(IF(COUNT(J32,M32,P32,R32)&lt;3,SUM(J32,M32,P32,R32),SUM(LARGE((J32,M32,P32,R32),{1;2;3}))))</f>
        <v>104</v>
      </c>
      <c r="J32" s="727">
        <v>18</v>
      </c>
      <c r="K32" s="1237" t="s">
        <v>313</v>
      </c>
      <c r="L32" s="727">
        <v>2</v>
      </c>
      <c r="M32" s="615">
        <v>30</v>
      </c>
      <c r="N32" s="727">
        <v>2</v>
      </c>
      <c r="O32" s="615"/>
      <c r="P32" s="727">
        <v>40</v>
      </c>
      <c r="Q32" s="1237" t="s">
        <v>313</v>
      </c>
      <c r="R32" s="1237" t="s">
        <v>313</v>
      </c>
      <c r="S32" s="727"/>
      <c r="T32" s="727">
        <v>12</v>
      </c>
      <c r="U32" s="1237" t="s">
        <v>313</v>
      </c>
      <c r="V32" s="727"/>
      <c r="W32" s="231">
        <f t="shared" si="2"/>
        <v>6</v>
      </c>
      <c r="X32" s="231">
        <f t="shared" si="3"/>
        <v>2</v>
      </c>
      <c r="Y32" s="231">
        <f t="shared" si="4"/>
        <v>1</v>
      </c>
      <c r="Z32" s="727">
        <f t="shared" si="5"/>
        <v>1</v>
      </c>
      <c r="AA32" s="727">
        <f t="shared" si="6"/>
        <v>1</v>
      </c>
      <c r="AB32" s="727">
        <f t="shared" si="7"/>
        <v>2</v>
      </c>
    </row>
    <row r="33" spans="1:28" s="232" customFormat="1" x14ac:dyDescent="0.2">
      <c r="A33" s="40">
        <f t="shared" si="0"/>
        <v>26</v>
      </c>
      <c r="B33" s="1298">
        <v>26</v>
      </c>
      <c r="C33" s="418"/>
      <c r="D33" s="507"/>
      <c r="E33" s="761" t="s">
        <v>15</v>
      </c>
      <c r="F33" s="1295">
        <v>78</v>
      </c>
      <c r="G33" s="16">
        <f t="shared" si="1"/>
        <v>78.000000111999995</v>
      </c>
      <c r="H33" s="39">
        <f t="shared" si="8"/>
        <v>1.12E-7</v>
      </c>
      <c r="I33" s="16">
        <f t="array" ref="I33">(IF(COUNT(L33,N33,Q33,U33,V33)&lt;3,SUM(L33,N33,Q33,U33,V33),SUM(LARGE((L33,N33,Q33,U33,V33),{1;2;3}))))+(IF(COUNT(K33,O33,S33,T33)&lt;3,SUM(K33,O33,S33,T33),SUM(LARGE((K33,O33,S33,T33),{1;2;3}))))+(IF(COUNT(J33,M33,P33,R33)&lt;3,SUM(J33,M33,P33,R33),SUM(LARGE((J33,M33,P33,R33),{1;2;3}))))</f>
        <v>78</v>
      </c>
      <c r="J33" s="1238" t="s">
        <v>313</v>
      </c>
      <c r="K33" s="1237" t="s">
        <v>313</v>
      </c>
      <c r="L33" s="1238" t="s">
        <v>313</v>
      </c>
      <c r="M33" s="727"/>
      <c r="N33" s="1238" t="s">
        <v>313</v>
      </c>
      <c r="O33" s="727">
        <v>18</v>
      </c>
      <c r="P33" s="727">
        <v>18</v>
      </c>
      <c r="Q33" s="615">
        <v>20</v>
      </c>
      <c r="R33" s="727">
        <v>22</v>
      </c>
      <c r="S33" s="727"/>
      <c r="T33" s="727"/>
      <c r="U33" s="727"/>
      <c r="V33" s="727"/>
      <c r="W33" s="231">
        <f t="shared" si="2"/>
        <v>4</v>
      </c>
      <c r="X33" s="231">
        <f t="shared" si="3"/>
        <v>0</v>
      </c>
      <c r="Y33" s="231">
        <f t="shared" si="4"/>
        <v>0</v>
      </c>
      <c r="Z33" s="727">
        <f t="shared" si="5"/>
        <v>1</v>
      </c>
      <c r="AA33" s="727">
        <f t="shared" si="6"/>
        <v>1</v>
      </c>
      <c r="AB33" s="727">
        <f t="shared" si="7"/>
        <v>2</v>
      </c>
    </row>
    <row r="34" spans="1:28" s="232" customFormat="1" x14ac:dyDescent="0.2">
      <c r="A34" s="40">
        <f t="shared" si="0"/>
        <v>27</v>
      </c>
      <c r="B34" s="1297">
        <v>27</v>
      </c>
      <c r="C34" s="418"/>
      <c r="D34" s="507"/>
      <c r="E34" s="728" t="s">
        <v>71</v>
      </c>
      <c r="F34" s="1295">
        <v>62</v>
      </c>
      <c r="G34" s="16">
        <f t="shared" si="1"/>
        <v>62.0000100102</v>
      </c>
      <c r="H34" s="39">
        <f t="shared" si="8"/>
        <v>1.0010200000000001E-5</v>
      </c>
      <c r="I34" s="16">
        <f t="array" ref="I34">(IF(COUNT(L34,N34,Q34,U34,V34)&lt;3,SUM(L34,N34,Q34,U34,V34),SUM(LARGE((L34,N34,Q34,U34,V34),{1;2;3}))))+(IF(COUNT(K34,O34,S34,T34)&lt;3,SUM(K34,O34,S34,T34),SUM(LARGE((K34,O34,S34,T34),{1;2;3}))))+(IF(COUNT(J34,M34,P34,R34)&lt;3,SUM(J34,M34,P34,R34),SUM(LARGE((J34,M34,P34,R34),{1;2;3}))))</f>
        <v>62</v>
      </c>
      <c r="J34" s="615">
        <v>26</v>
      </c>
      <c r="K34" s="1237" t="s">
        <v>313</v>
      </c>
      <c r="L34" s="1238" t="s">
        <v>313</v>
      </c>
      <c r="M34" s="1237">
        <v>16</v>
      </c>
      <c r="N34" s="1238" t="s">
        <v>313</v>
      </c>
      <c r="O34" s="615"/>
      <c r="P34" s="615">
        <v>16</v>
      </c>
      <c r="Q34" s="727"/>
      <c r="R34" s="727">
        <v>20</v>
      </c>
      <c r="S34" s="727"/>
      <c r="T34" s="727"/>
      <c r="U34" s="727"/>
      <c r="V34" s="727"/>
      <c r="W34" s="231">
        <f t="shared" si="2"/>
        <v>4</v>
      </c>
      <c r="X34" s="231">
        <f t="shared" si="3"/>
        <v>0</v>
      </c>
      <c r="Y34" s="231">
        <f t="shared" si="4"/>
        <v>0</v>
      </c>
      <c r="Z34" s="727">
        <f t="shared" si="5"/>
        <v>0</v>
      </c>
      <c r="AA34" s="727">
        <f t="shared" si="6"/>
        <v>1</v>
      </c>
      <c r="AB34" s="727">
        <f t="shared" si="7"/>
        <v>2</v>
      </c>
    </row>
    <row r="35" spans="1:28" x14ac:dyDescent="0.2">
      <c r="A35" s="40">
        <f t="shared" si="0"/>
        <v>28</v>
      </c>
      <c r="B35" s="1298">
        <v>28</v>
      </c>
      <c r="C35" s="506"/>
      <c r="D35" s="508"/>
      <c r="E35" s="760" t="s">
        <v>70</v>
      </c>
      <c r="F35" s="1295">
        <v>54</v>
      </c>
      <c r="G35" s="16">
        <f t="shared" si="1"/>
        <v>54.000010001000099</v>
      </c>
      <c r="H35" s="39">
        <f t="shared" si="8"/>
        <v>1.0001000100000001E-5</v>
      </c>
      <c r="I35" s="16">
        <f t="array" ref="I35">(IF(COUNT(L35,N35,Q35,U35,V35)&lt;3,SUM(L35,N35,Q35,U35,V35),SUM(LARGE((L35,N35,Q35,U35,V35),{1;2;3}))))+(IF(COUNT(K35,O35,S35,T35)&lt;3,SUM(K35,O35,S35,T35),SUM(LARGE((K35,O35,S35,T35),{1;2;3}))))+(IF(COUNT(J35,M35,P35,R35)&lt;3,SUM(J35,M35,P35,R35),SUM(LARGE((J35,M35,P35,R35),{1;2;3}))))</f>
        <v>54</v>
      </c>
      <c r="J35" s="1238" t="s">
        <v>313</v>
      </c>
      <c r="K35" s="1237" t="s">
        <v>313</v>
      </c>
      <c r="L35" s="1238" t="s">
        <v>313</v>
      </c>
      <c r="M35" s="615">
        <v>18</v>
      </c>
      <c r="N35" s="1238" t="s">
        <v>313</v>
      </c>
      <c r="O35" s="615"/>
      <c r="P35" s="727"/>
      <c r="Q35" s="727"/>
      <c r="R35" s="727">
        <v>26</v>
      </c>
      <c r="S35" s="727"/>
      <c r="T35" s="727">
        <v>10</v>
      </c>
      <c r="U35" s="727"/>
      <c r="V35" s="727"/>
      <c r="W35" s="231">
        <f t="shared" si="2"/>
        <v>3</v>
      </c>
      <c r="X35" s="231">
        <f t="shared" si="3"/>
        <v>0</v>
      </c>
      <c r="Y35" s="231">
        <f t="shared" si="4"/>
        <v>0</v>
      </c>
      <c r="Z35" s="727">
        <f t="shared" si="5"/>
        <v>1</v>
      </c>
      <c r="AA35" s="727">
        <f t="shared" si="6"/>
        <v>1</v>
      </c>
      <c r="AB35" s="727">
        <f t="shared" si="7"/>
        <v>2</v>
      </c>
    </row>
    <row r="36" spans="1:28" x14ac:dyDescent="0.2">
      <c r="A36" s="40">
        <f t="shared" si="0"/>
        <v>29</v>
      </c>
      <c r="B36" s="1298">
        <v>29</v>
      </c>
      <c r="C36" s="418"/>
      <c r="D36" s="507"/>
      <c r="E36" s="457" t="s">
        <v>82</v>
      </c>
      <c r="F36" s="1295">
        <v>51</v>
      </c>
      <c r="G36" s="16">
        <f t="shared" si="1"/>
        <v>51.001000000099999</v>
      </c>
      <c r="H36" s="39">
        <f t="shared" si="8"/>
        <v>1.0000001000000001E-3</v>
      </c>
      <c r="I36" s="16">
        <f t="array" ref="I36">(IF(COUNT(L36,N36,Q36,U36,V36)&lt;3,SUM(L36,N36,Q36,U36,V36),SUM(LARGE((L36,N36,Q36,U36,V36),{1;2;3}))))+(IF(COUNT(K36,O36,S36,T36)&lt;3,SUM(K36,O36,S36,T36),SUM(LARGE((K36,O36,S36,T36),{1;2;3}))))+(IF(COUNT(J36,M36,P36,R36)&lt;3,SUM(J36,M36,P36,R36),SUM(LARGE((J36,M36,P36,R36),{1;2;3}))))</f>
        <v>51</v>
      </c>
      <c r="J36" s="1238" t="s">
        <v>313</v>
      </c>
      <c r="K36" s="727">
        <v>16</v>
      </c>
      <c r="L36" s="1238" t="s">
        <v>313</v>
      </c>
      <c r="M36" s="727"/>
      <c r="N36" s="727">
        <v>1</v>
      </c>
      <c r="O36" s="1237" t="s">
        <v>313</v>
      </c>
      <c r="P36" s="727"/>
      <c r="Q36" s="1237" t="s">
        <v>313</v>
      </c>
      <c r="R36" s="727">
        <v>34</v>
      </c>
      <c r="S36" s="727"/>
      <c r="T36" s="727"/>
      <c r="U36" s="727"/>
      <c r="V36" s="727"/>
      <c r="W36" s="231">
        <f t="shared" si="2"/>
        <v>3</v>
      </c>
      <c r="X36" s="231">
        <f t="shared" si="3"/>
        <v>1</v>
      </c>
      <c r="Y36" s="231">
        <f t="shared" si="4"/>
        <v>0</v>
      </c>
      <c r="Z36" s="727">
        <f t="shared" si="5"/>
        <v>1</v>
      </c>
      <c r="AA36" s="727">
        <f t="shared" si="6"/>
        <v>1</v>
      </c>
      <c r="AB36" s="727">
        <f t="shared" si="7"/>
        <v>2</v>
      </c>
    </row>
    <row r="37" spans="1:28" x14ac:dyDescent="0.2">
      <c r="A37" s="40">
        <f t="shared" si="0"/>
        <v>30</v>
      </c>
      <c r="B37" s="1298">
        <v>30</v>
      </c>
      <c r="C37" s="418"/>
      <c r="D37" s="507"/>
      <c r="E37" s="972" t="s">
        <v>349</v>
      </c>
      <c r="F37" s="1295">
        <v>42</v>
      </c>
      <c r="G37" s="16">
        <f t="shared" si="1"/>
        <v>42.000000100999998</v>
      </c>
      <c r="H37" s="39">
        <f t="shared" si="8"/>
        <v>1.0099999999999999E-7</v>
      </c>
      <c r="I37" s="16">
        <f t="array" ref="I37">(IF(COUNT(L37,N37,Q37,U37,V37)&lt;3,SUM(L37,N37,Q37,U37,V37),SUM(LARGE((L37,N37,Q37,U37,V37),{1;2;3}))))+(IF(COUNT(K37,O37,S37,T37)&lt;3,SUM(K37,O37,S37,T37),SUM(LARGE((K37,O37,S37,T37),{1;2;3}))))+(IF(COUNT(J37,M37,P37,R37)&lt;3,SUM(J37,M37,P37,R37),SUM(LARGE((J37,M37,P37,R37),{1;2;3}))))</f>
        <v>42</v>
      </c>
      <c r="J37" s="1238" t="s">
        <v>313</v>
      </c>
      <c r="K37" s="1237" t="s">
        <v>313</v>
      </c>
      <c r="L37" s="1238" t="s">
        <v>313</v>
      </c>
      <c r="M37" s="727"/>
      <c r="N37" s="727">
        <v>1</v>
      </c>
      <c r="O37" s="615"/>
      <c r="P37" s="727">
        <v>18</v>
      </c>
      <c r="Q37" s="727">
        <v>1</v>
      </c>
      <c r="R37" s="727">
        <v>22</v>
      </c>
      <c r="S37" s="727"/>
      <c r="T37" s="727"/>
      <c r="U37" s="1237" t="s">
        <v>313</v>
      </c>
      <c r="V37" s="727"/>
      <c r="W37" s="231">
        <f t="shared" si="2"/>
        <v>4</v>
      </c>
      <c r="X37" s="231">
        <f t="shared" si="3"/>
        <v>0</v>
      </c>
      <c r="Y37" s="231">
        <f t="shared" si="4"/>
        <v>0</v>
      </c>
      <c r="Z37" s="727">
        <f t="shared" si="5"/>
        <v>1</v>
      </c>
      <c r="AA37" s="727">
        <f t="shared" si="6"/>
        <v>1</v>
      </c>
      <c r="AB37" s="727">
        <f t="shared" si="7"/>
        <v>2</v>
      </c>
    </row>
    <row r="38" spans="1:28" x14ac:dyDescent="0.2">
      <c r="A38" s="40">
        <f t="shared" si="0"/>
        <v>31</v>
      </c>
      <c r="B38" s="1298">
        <v>31</v>
      </c>
      <c r="C38" s="506"/>
      <c r="D38" s="508"/>
      <c r="E38" s="726" t="s">
        <v>350</v>
      </c>
      <c r="F38" s="1295">
        <v>40</v>
      </c>
      <c r="G38" s="16">
        <f t="shared" si="1"/>
        <v>40.000000100999998</v>
      </c>
      <c r="H38" s="39">
        <f t="shared" si="8"/>
        <v>1.0099999999999999E-7</v>
      </c>
      <c r="I38" s="16">
        <f t="array" ref="I38">(IF(COUNT(L38,N38,Q38,U38,V38)&lt;3,SUM(L38,N38,Q38,U38,V38),SUM(LARGE((L38,N38,Q38,U38,V38),{1;2;3}))))+(IF(COUNT(K38,O38,S38,T38)&lt;3,SUM(K38,O38,S38,T38),SUM(LARGE((K38,O38,S38,T38),{1;2;3}))))+(IF(COUNT(J38,M38,P38,R38)&lt;3,SUM(J38,M38,P38,R38),SUM(LARGE((J38,M38,P38,R38),{1;2;3}))))</f>
        <v>40</v>
      </c>
      <c r="J38" s="1238" t="s">
        <v>313</v>
      </c>
      <c r="K38" s="1237" t="s">
        <v>313</v>
      </c>
      <c r="L38" s="1238" t="s">
        <v>313</v>
      </c>
      <c r="M38" s="615"/>
      <c r="N38" s="1238" t="s">
        <v>313</v>
      </c>
      <c r="O38" s="615"/>
      <c r="P38" s="727">
        <v>18</v>
      </c>
      <c r="Q38" s="727"/>
      <c r="R38" s="727">
        <v>22</v>
      </c>
      <c r="S38" s="727"/>
      <c r="T38" s="727"/>
      <c r="U38" s="727"/>
      <c r="V38" s="727"/>
      <c r="W38" s="231">
        <f t="shared" si="2"/>
        <v>2</v>
      </c>
      <c r="X38" s="231">
        <f t="shared" si="3"/>
        <v>0</v>
      </c>
      <c r="Y38" s="231">
        <f t="shared" si="4"/>
        <v>0</v>
      </c>
      <c r="Z38" s="727">
        <f t="shared" si="5"/>
        <v>1</v>
      </c>
      <c r="AA38" s="727">
        <f t="shared" si="6"/>
        <v>1</v>
      </c>
      <c r="AB38" s="727">
        <f t="shared" si="7"/>
        <v>2</v>
      </c>
    </row>
    <row r="39" spans="1:28" x14ac:dyDescent="0.2">
      <c r="A39" s="40">
        <f t="shared" si="0"/>
        <v>32</v>
      </c>
      <c r="B39" s="1298">
        <v>32</v>
      </c>
      <c r="C39" s="506"/>
      <c r="D39" s="508"/>
      <c r="E39" s="726" t="s">
        <v>493</v>
      </c>
      <c r="F39" s="1296">
        <v>38</v>
      </c>
      <c r="G39" s="16">
        <f t="shared" si="1"/>
        <v>38.000000001099998</v>
      </c>
      <c r="H39" s="39">
        <f t="shared" si="8"/>
        <v>1.1000001000000002E-9</v>
      </c>
      <c r="I39" s="16">
        <f t="array" ref="I39">(IF(COUNT(L39,N39,Q39,U39,V39)&lt;3,SUM(L39,N39,Q39,U39,V39),SUM(LARGE((L39,N39,Q39,U39,V39),{1;2;3}))))+(IF(COUNT(K39,O39,S39,T39)&lt;3,SUM(K39,O39,S39,T39),SUM(LARGE((K39,O39,S39,T39),{1;2;3}))))+(IF(COUNT(J39,M39,P39,R39)&lt;3,SUM(J39,M39,P39,R39),SUM(LARGE((J39,M39,P39,R39),{1;2;3}))))</f>
        <v>38</v>
      </c>
      <c r="J39" s="1238" t="s">
        <v>313</v>
      </c>
      <c r="K39" s="1237" t="s">
        <v>313</v>
      </c>
      <c r="L39" s="1238" t="s">
        <v>313</v>
      </c>
      <c r="M39" s="615"/>
      <c r="N39" s="1238" t="s">
        <v>313</v>
      </c>
      <c r="O39" s="615"/>
      <c r="P39" s="727"/>
      <c r="Q39" s="727"/>
      <c r="R39" s="727">
        <v>16</v>
      </c>
      <c r="S39" s="727"/>
      <c r="T39" s="727">
        <v>18</v>
      </c>
      <c r="U39" s="727"/>
      <c r="V39" s="727">
        <v>4</v>
      </c>
      <c r="W39" s="231">
        <f t="shared" si="2"/>
        <v>3</v>
      </c>
      <c r="X39" s="231">
        <f t="shared" si="3"/>
        <v>0</v>
      </c>
      <c r="Y39" s="231">
        <f t="shared" si="4"/>
        <v>0</v>
      </c>
      <c r="Z39" s="727">
        <f t="shared" si="5"/>
        <v>1</v>
      </c>
      <c r="AA39" s="727">
        <f t="shared" si="6"/>
        <v>1</v>
      </c>
      <c r="AB39" s="727">
        <f t="shared" si="7"/>
        <v>2</v>
      </c>
    </row>
    <row r="40" spans="1:28" x14ac:dyDescent="0.2">
      <c r="A40" s="40">
        <f t="shared" ref="A40:A57" si="9">RANK(G40,G$8:G$57,0)</f>
        <v>33</v>
      </c>
      <c r="B40" s="1298">
        <v>33</v>
      </c>
      <c r="C40" s="506">
        <v>4</v>
      </c>
      <c r="D40" s="508"/>
      <c r="E40" s="1286" t="s">
        <v>494</v>
      </c>
      <c r="F40" s="1296">
        <v>35</v>
      </c>
      <c r="G40" s="16">
        <f t="shared" ref="G40:G57" si="10">H40+I40</f>
        <v>35.000000001099998</v>
      </c>
      <c r="H40" s="39">
        <f t="shared" si="8"/>
        <v>1.1000000000000001E-9</v>
      </c>
      <c r="I40" s="16">
        <f t="array" ref="I40">(IF(COUNT(L40,N40,Q40,U40,V40)&lt;3,SUM(L40,N40,Q40,U40,V40),SUM(LARGE((L40,N40,Q40,U40,V40),{1;2;3}))))+(IF(COUNT(K40,O40,S40,T40)&lt;3,SUM(K40,O40,S40,T40),SUM(LARGE((K40,O40,S40,T40),{1;2;3}))))+(IF(COUNT(J40,M40,P40,R40)&lt;3,SUM(J40,M40,P40,R40),SUM(LARGE((J40,M40,P40,R40),{1;2;3}))))</f>
        <v>35</v>
      </c>
      <c r="J40" s="1238" t="s">
        <v>313</v>
      </c>
      <c r="K40" s="1237" t="s">
        <v>313</v>
      </c>
      <c r="L40" s="1238" t="s">
        <v>313</v>
      </c>
      <c r="M40" s="615"/>
      <c r="N40" s="1238" t="s">
        <v>313</v>
      </c>
      <c r="O40" s="615"/>
      <c r="P40" s="727"/>
      <c r="Q40" s="727"/>
      <c r="R40" s="727">
        <v>16</v>
      </c>
      <c r="S40" s="727"/>
      <c r="T40" s="727">
        <v>18</v>
      </c>
      <c r="U40" s="727"/>
      <c r="V40" s="727">
        <v>1</v>
      </c>
      <c r="W40" s="231">
        <f t="shared" ref="W40:W57" si="11">COUNTIF(J40:V40,"&gt;=0")</f>
        <v>3</v>
      </c>
      <c r="X40" s="231">
        <f t="shared" ref="X40:X57" si="12">COUNTIF(J40:V40,"&gt;=30")</f>
        <v>0</v>
      </c>
      <c r="Y40" s="231">
        <f t="shared" ref="Y40:Y57" si="13">COUNTIF(J40:V40,"=40")</f>
        <v>0</v>
      </c>
      <c r="Z40" s="727">
        <f t="shared" ref="Z40:Z57" si="14">COUNTIF(J40,"=  ")+COUNTIF(M40,"=  ")+COUNTIF(P40,"=  ")+COUNTIF(R40,"=  ")</f>
        <v>1</v>
      </c>
      <c r="AA40" s="727">
        <f t="shared" ref="AA40:AA57" si="15">COUNTIF(K40,"=  ")+COUNTIF(O40,"=  ")+COUNTIF(S40,"=  ")+COUNTIF(T40,"=  ")</f>
        <v>1</v>
      </c>
      <c r="AB40" s="727">
        <f t="shared" ref="AB40:AB57" si="16">COUNTIF(L40,"=  ")+COUNTIF(N40,"=  ")+COUNTIF(Q40,"=  ")+COUNTIF(U40,"=  ")+COUNTIF(V40,"=  ")</f>
        <v>2</v>
      </c>
    </row>
    <row r="41" spans="1:28" x14ac:dyDescent="0.2">
      <c r="A41" s="40">
        <f t="shared" si="9"/>
        <v>34</v>
      </c>
      <c r="B41" s="1297">
        <v>34</v>
      </c>
      <c r="C41" s="418">
        <v>5</v>
      </c>
      <c r="D41" s="507"/>
      <c r="E41" s="418" t="s">
        <v>67</v>
      </c>
      <c r="F41" s="1295">
        <v>33</v>
      </c>
      <c r="G41" s="16">
        <f t="shared" si="10"/>
        <v>33.000000001000998</v>
      </c>
      <c r="H41" s="39">
        <f t="shared" si="8"/>
        <v>1.0010000100000002E-9</v>
      </c>
      <c r="I41" s="16">
        <f t="array" ref="I41">(IF(COUNT(L41,N41,Q41,U41,V41)&lt;3,SUM(L41,N41,Q41,U41,V41),SUM(LARGE((L41,N41,Q41,U41,V41),{1;2;3}))))+(IF(COUNT(K41,O41,S41,T41)&lt;3,SUM(K41,O41,S41,T41),SUM(LARGE((K41,O41,S41,T41),{1;2;3}))))+(IF(COUNT(J41,M41,P41,R41)&lt;3,SUM(J41,M41,P41,R41),SUM(LARGE((J41,M41,P41,R41),{1;2;3}))))</f>
        <v>33</v>
      </c>
      <c r="J41" s="615">
        <v>18</v>
      </c>
      <c r="K41" s="727">
        <v>12</v>
      </c>
      <c r="L41" s="727">
        <v>1</v>
      </c>
      <c r="M41" s="1238" t="s">
        <v>313</v>
      </c>
      <c r="N41" s="1238" t="s">
        <v>313</v>
      </c>
      <c r="O41" s="1237" t="s">
        <v>313</v>
      </c>
      <c r="P41" s="615"/>
      <c r="Q41" s="1237" t="s">
        <v>313</v>
      </c>
      <c r="R41" s="727"/>
      <c r="S41" s="727"/>
      <c r="T41" s="615"/>
      <c r="U41" s="727"/>
      <c r="V41" s="615">
        <v>2</v>
      </c>
      <c r="W41" s="231">
        <f t="shared" si="11"/>
        <v>4</v>
      </c>
      <c r="X41" s="231">
        <f t="shared" si="12"/>
        <v>0</v>
      </c>
      <c r="Y41" s="231">
        <f t="shared" si="13"/>
        <v>0</v>
      </c>
      <c r="Z41" s="727">
        <f t="shared" si="14"/>
        <v>1</v>
      </c>
      <c r="AA41" s="727">
        <f t="shared" si="15"/>
        <v>1</v>
      </c>
      <c r="AB41" s="727">
        <f t="shared" si="16"/>
        <v>2</v>
      </c>
    </row>
    <row r="42" spans="1:28" x14ac:dyDescent="0.2">
      <c r="A42" s="40">
        <f t="shared" si="9"/>
        <v>35</v>
      </c>
      <c r="B42" s="1298">
        <v>35</v>
      </c>
      <c r="C42" s="418"/>
      <c r="D42" s="507"/>
      <c r="E42" s="726" t="s">
        <v>347</v>
      </c>
      <c r="F42" s="1295">
        <v>28</v>
      </c>
      <c r="G42" s="16">
        <f t="shared" si="10"/>
        <v>28.000001000000001</v>
      </c>
      <c r="H42" s="39">
        <f t="shared" si="8"/>
        <v>1.0000000001E-6</v>
      </c>
      <c r="I42" s="16">
        <f t="array" ref="I42">(IF(COUNT(L42,N42,Q42,U42,V42)&lt;3,SUM(L42,N42,Q42,U42,V42),SUM(LARGE((L42,N42,Q42,U42,V42),{1;2;3}))))+(IF(COUNT(K42,O42,S42,T42)&lt;3,SUM(K42,O42,S42,T42),SUM(LARGE((K42,O42,S42,T42),{1;2;3}))))+(IF(COUNT(J42,M42,P42,R42)&lt;3,SUM(J42,M42,P42,R42),SUM(LARGE((J42,M42,P42,R42),{1;2;3}))))</f>
        <v>28</v>
      </c>
      <c r="J42" s="1238" t="s">
        <v>313</v>
      </c>
      <c r="K42" s="1237" t="s">
        <v>313</v>
      </c>
      <c r="L42" s="1238" t="s">
        <v>313</v>
      </c>
      <c r="M42" s="727"/>
      <c r="N42" s="1238" t="s">
        <v>313</v>
      </c>
      <c r="O42" s="615">
        <v>24</v>
      </c>
      <c r="P42" s="727"/>
      <c r="Q42" s="727">
        <v>4</v>
      </c>
      <c r="R42" s="727"/>
      <c r="S42" s="727"/>
      <c r="T42" s="727"/>
      <c r="U42" s="727"/>
      <c r="V42" s="727"/>
      <c r="W42" s="231">
        <f t="shared" si="11"/>
        <v>2</v>
      </c>
      <c r="X42" s="231">
        <f t="shared" si="12"/>
        <v>0</v>
      </c>
      <c r="Y42" s="231">
        <f t="shared" si="13"/>
        <v>0</v>
      </c>
      <c r="Z42" s="727">
        <f t="shared" si="14"/>
        <v>1</v>
      </c>
      <c r="AA42" s="727">
        <f t="shared" si="15"/>
        <v>1</v>
      </c>
      <c r="AB42" s="727">
        <f t="shared" si="16"/>
        <v>2</v>
      </c>
    </row>
    <row r="43" spans="1:28" x14ac:dyDescent="0.2">
      <c r="A43" s="40">
        <f t="shared" si="9"/>
        <v>36</v>
      </c>
      <c r="B43" s="1298">
        <v>36</v>
      </c>
      <c r="C43" s="506"/>
      <c r="D43" s="508">
        <v>2</v>
      </c>
      <c r="E43" s="696" t="s">
        <v>414</v>
      </c>
      <c r="F43" s="1295">
        <v>24</v>
      </c>
      <c r="G43" s="16">
        <f t="shared" si="10"/>
        <v>24.000001000000001</v>
      </c>
      <c r="H43" s="39">
        <f t="shared" si="8"/>
        <v>9.9999999999999995E-7</v>
      </c>
      <c r="I43" s="16">
        <f t="array" ref="I43">(IF(COUNT(L43,N43,Q43,U43,V43)&lt;3,SUM(L43,N43,Q43,U43,V43),SUM(LARGE((L43,N43,Q43,U43,V43),{1;2;3}))))+(IF(COUNT(K43,O43,S43,T43)&lt;3,SUM(K43,O43,S43,T43),SUM(LARGE((K43,O43,S43,T43),{1;2;3}))))+(IF(COUNT(J43,M43,P43,R43)&lt;3,SUM(J43,M43,P43,R43),SUM(LARGE((J43,M43,P43,R43),{1;2;3}))))</f>
        <v>24</v>
      </c>
      <c r="J43" s="1238" t="s">
        <v>313</v>
      </c>
      <c r="K43" s="1237" t="s">
        <v>313</v>
      </c>
      <c r="L43" s="1238" t="s">
        <v>313</v>
      </c>
      <c r="M43" s="615"/>
      <c r="N43" s="1238" t="s">
        <v>313</v>
      </c>
      <c r="O43" s="615"/>
      <c r="P43" s="727">
        <v>24</v>
      </c>
      <c r="Q43" s="727"/>
      <c r="R43" s="727"/>
      <c r="S43" s="727"/>
      <c r="T43" s="727"/>
      <c r="U43" s="727"/>
      <c r="V43" s="727"/>
      <c r="W43" s="231">
        <f t="shared" si="11"/>
        <v>1</v>
      </c>
      <c r="X43" s="231">
        <f t="shared" si="12"/>
        <v>0</v>
      </c>
      <c r="Y43" s="231">
        <f t="shared" si="13"/>
        <v>0</v>
      </c>
      <c r="Z43" s="727">
        <f t="shared" si="14"/>
        <v>1</v>
      </c>
      <c r="AA43" s="727">
        <f t="shared" si="15"/>
        <v>1</v>
      </c>
      <c r="AB43" s="727">
        <f t="shared" si="16"/>
        <v>2</v>
      </c>
    </row>
    <row r="44" spans="1:28" x14ac:dyDescent="0.2">
      <c r="A44" s="40">
        <f t="shared" si="9"/>
        <v>36</v>
      </c>
      <c r="B44" s="1298">
        <v>36</v>
      </c>
      <c r="C44" s="506"/>
      <c r="D44" s="508"/>
      <c r="E44" s="726" t="s">
        <v>345</v>
      </c>
      <c r="F44" s="1295">
        <v>24</v>
      </c>
      <c r="G44" s="16">
        <f t="shared" si="10"/>
        <v>24.000001000000001</v>
      </c>
      <c r="H44" s="39">
        <f t="shared" si="8"/>
        <v>9.9999999999999995E-7</v>
      </c>
      <c r="I44" s="16">
        <f t="array" ref="I44">(IF(COUNT(L44,N44,Q44,U44,V44)&lt;3,SUM(L44,N44,Q44,U44,V44),SUM(LARGE((L44,N44,Q44,U44,V44),{1;2;3}))))+(IF(COUNT(K44,O44,S44,T44)&lt;3,SUM(K44,O44,S44,T44),SUM(LARGE((K44,O44,S44,T44),{1;2;3}))))+(IF(COUNT(J44,M44,P44,R44)&lt;3,SUM(J44,M44,P44,R44),SUM(LARGE((J44,M44,P44,R44),{1;2;3}))))</f>
        <v>24</v>
      </c>
      <c r="J44" s="1238" t="s">
        <v>313</v>
      </c>
      <c r="K44" s="1237" t="s">
        <v>313</v>
      </c>
      <c r="L44" s="1238" t="s">
        <v>313</v>
      </c>
      <c r="M44" s="615"/>
      <c r="N44" s="1238" t="s">
        <v>313</v>
      </c>
      <c r="O44" s="615">
        <v>24</v>
      </c>
      <c r="P44" s="727"/>
      <c r="Q44" s="727"/>
      <c r="R44" s="727"/>
      <c r="S44" s="727"/>
      <c r="T44" s="727"/>
      <c r="U44" s="727"/>
      <c r="V44" s="727"/>
      <c r="W44" s="231">
        <f t="shared" si="11"/>
        <v>1</v>
      </c>
      <c r="X44" s="231">
        <f t="shared" si="12"/>
        <v>0</v>
      </c>
      <c r="Y44" s="231">
        <f t="shared" si="13"/>
        <v>0</v>
      </c>
      <c r="Z44" s="727">
        <f t="shared" si="14"/>
        <v>1</v>
      </c>
      <c r="AA44" s="727">
        <f t="shared" si="15"/>
        <v>1</v>
      </c>
      <c r="AB44" s="727">
        <f t="shared" si="16"/>
        <v>2</v>
      </c>
    </row>
    <row r="45" spans="1:28" x14ac:dyDescent="0.2">
      <c r="A45" s="40">
        <f t="shared" si="9"/>
        <v>38</v>
      </c>
      <c r="B45" s="1298">
        <v>38</v>
      </c>
      <c r="C45" s="418"/>
      <c r="D45" s="509"/>
      <c r="E45" s="761" t="s">
        <v>69</v>
      </c>
      <c r="F45" s="1295">
        <v>24</v>
      </c>
      <c r="G45" s="16">
        <f t="shared" si="10"/>
        <v>24.000000100000001</v>
      </c>
      <c r="H45" s="39">
        <f t="shared" si="8"/>
        <v>9.9999999999999995E-8</v>
      </c>
      <c r="I45" s="16">
        <f t="array" ref="I45">(IF(COUNT(L45,N45,Q45,U45,V45)&lt;3,SUM(L45,N45,Q45,U45,V45),SUM(LARGE((L45,N45,Q45,U45,V45),{1;2;3}))))+(IF(COUNT(K45,O45,S45,T45)&lt;3,SUM(K45,O45,S45,T45),SUM(LARGE((K45,O45,S45,T45),{1;2;3}))))+(IF(COUNT(J45,M45,P45,R45)&lt;3,SUM(J45,M45,P45,R45),SUM(LARGE((J45,M45,P45,R45),{1;2;3}))))</f>
        <v>24</v>
      </c>
      <c r="J45" s="1238" t="s">
        <v>313</v>
      </c>
      <c r="K45" s="1237" t="s">
        <v>313</v>
      </c>
      <c r="L45" s="615">
        <v>1</v>
      </c>
      <c r="M45" s="727">
        <v>22</v>
      </c>
      <c r="N45" s="727">
        <v>1</v>
      </c>
      <c r="O45" s="727"/>
      <c r="P45" s="727"/>
      <c r="Q45" s="1237" t="s">
        <v>313</v>
      </c>
      <c r="R45" s="727"/>
      <c r="S45" s="727"/>
      <c r="T45" s="727"/>
      <c r="U45" s="1237" t="s">
        <v>313</v>
      </c>
      <c r="V45" s="727"/>
      <c r="W45" s="231">
        <f t="shared" si="11"/>
        <v>3</v>
      </c>
      <c r="X45" s="231">
        <f t="shared" si="12"/>
        <v>0</v>
      </c>
      <c r="Y45" s="231">
        <f t="shared" si="13"/>
        <v>0</v>
      </c>
      <c r="Z45" s="727">
        <f t="shared" si="14"/>
        <v>1</v>
      </c>
      <c r="AA45" s="727">
        <f t="shared" si="15"/>
        <v>1</v>
      </c>
      <c r="AB45" s="727">
        <f t="shared" si="16"/>
        <v>2</v>
      </c>
    </row>
    <row r="46" spans="1:28" x14ac:dyDescent="0.2">
      <c r="A46" s="40">
        <f t="shared" si="9"/>
        <v>39</v>
      </c>
      <c r="B46" s="1298">
        <v>39</v>
      </c>
      <c r="C46" s="506"/>
      <c r="D46" s="508"/>
      <c r="E46" s="726" t="s">
        <v>445</v>
      </c>
      <c r="F46" s="1295">
        <v>22</v>
      </c>
      <c r="G46" s="16">
        <f t="shared" si="10"/>
        <v>22.000000100000001</v>
      </c>
      <c r="H46" s="39">
        <f t="shared" si="8"/>
        <v>9.9999999999999995E-8</v>
      </c>
      <c r="I46" s="16">
        <f t="array" ref="I46">(IF(COUNT(L46,N46,Q46,U46,V46)&lt;3,SUM(L46,N46,Q46,U46,V46),SUM(LARGE((L46,N46,Q46,U46,V46),{1;2;3}))))+(IF(COUNT(K46,O46,S46,T46)&lt;3,SUM(K46,O46,S46,T46),SUM(LARGE((K46,O46,S46,T46),{1;2;3}))))+(IF(COUNT(J46,M46,P46,R46)&lt;3,SUM(J46,M46,P46,R46),SUM(LARGE((J46,M46,P46,R46),{1;2;3}))))</f>
        <v>22</v>
      </c>
      <c r="J46" s="1238" t="s">
        <v>313</v>
      </c>
      <c r="K46" s="1237" t="s">
        <v>313</v>
      </c>
      <c r="L46" s="1238" t="s">
        <v>313</v>
      </c>
      <c r="M46" s="615"/>
      <c r="N46" s="1238" t="s">
        <v>313</v>
      </c>
      <c r="O46" s="615"/>
      <c r="P46" s="727">
        <v>22</v>
      </c>
      <c r="Q46" s="727"/>
      <c r="R46" s="727"/>
      <c r="S46" s="727"/>
      <c r="T46" s="727"/>
      <c r="U46" s="727"/>
      <c r="V46" s="727"/>
      <c r="W46" s="231">
        <f t="shared" si="11"/>
        <v>1</v>
      </c>
      <c r="X46" s="231">
        <f t="shared" si="12"/>
        <v>0</v>
      </c>
      <c r="Y46" s="231">
        <f t="shared" si="13"/>
        <v>0</v>
      </c>
      <c r="Z46" s="727">
        <f t="shared" si="14"/>
        <v>1</v>
      </c>
      <c r="AA46" s="727">
        <f t="shared" si="15"/>
        <v>1</v>
      </c>
      <c r="AB46" s="727">
        <f t="shared" si="16"/>
        <v>2</v>
      </c>
    </row>
    <row r="47" spans="1:28" x14ac:dyDescent="0.2">
      <c r="A47" s="40">
        <f t="shared" si="9"/>
        <v>39</v>
      </c>
      <c r="B47" s="1297">
        <v>39</v>
      </c>
      <c r="C47" s="418"/>
      <c r="D47" s="507"/>
      <c r="E47" s="726" t="s">
        <v>287</v>
      </c>
      <c r="F47" s="1295">
        <v>22</v>
      </c>
      <c r="G47" s="16">
        <f t="shared" si="10"/>
        <v>22.000000100000001</v>
      </c>
      <c r="H47" s="39">
        <f t="shared" si="8"/>
        <v>9.9999999999999995E-8</v>
      </c>
      <c r="I47" s="16">
        <f t="array" ref="I47">(IF(COUNT(L47,N47,Q47,U47,V47)&lt;3,SUM(L47,N47,Q47,U47,V47),SUM(LARGE((L47,N47,Q47,U47,V47),{1;2;3}))))+(IF(COUNT(K47,O47,S47,T47)&lt;3,SUM(K47,O47,S47,T47),SUM(LARGE((K47,O47,S47,T47),{1;2;3}))))+(IF(COUNT(J47,M47,P47,R47)&lt;3,SUM(J47,M47,P47,R47),SUM(LARGE((J47,M47,P47,R47),{1;2;3}))))</f>
        <v>22</v>
      </c>
      <c r="J47" s="615">
        <v>22</v>
      </c>
      <c r="K47" s="1237" t="s">
        <v>313</v>
      </c>
      <c r="L47" s="1238" t="s">
        <v>313</v>
      </c>
      <c r="M47" s="1238" t="s">
        <v>313</v>
      </c>
      <c r="N47" s="1238" t="s">
        <v>313</v>
      </c>
      <c r="O47" s="727"/>
      <c r="P47" s="727"/>
      <c r="Q47" s="727"/>
      <c r="R47" s="727"/>
      <c r="S47" s="615"/>
      <c r="T47" s="727"/>
      <c r="U47" s="727"/>
      <c r="V47" s="727"/>
      <c r="W47" s="231">
        <f t="shared" si="11"/>
        <v>1</v>
      </c>
      <c r="X47" s="231">
        <f t="shared" si="12"/>
        <v>0</v>
      </c>
      <c r="Y47" s="231">
        <f t="shared" si="13"/>
        <v>0</v>
      </c>
      <c r="Z47" s="727">
        <f t="shared" si="14"/>
        <v>1</v>
      </c>
      <c r="AA47" s="727">
        <f t="shared" si="15"/>
        <v>1</v>
      </c>
      <c r="AB47" s="727">
        <f t="shared" si="16"/>
        <v>2</v>
      </c>
    </row>
    <row r="48" spans="1:28" x14ac:dyDescent="0.2">
      <c r="A48" s="40">
        <f t="shared" si="9"/>
        <v>41</v>
      </c>
      <c r="B48" s="1297">
        <v>41</v>
      </c>
      <c r="C48" s="418"/>
      <c r="D48" s="507"/>
      <c r="E48" s="726" t="s">
        <v>289</v>
      </c>
      <c r="F48" s="1295">
        <v>20</v>
      </c>
      <c r="G48" s="16">
        <f t="shared" si="10"/>
        <v>20.000000010000001</v>
      </c>
      <c r="H48" s="39">
        <f t="shared" si="8"/>
        <v>1E-8</v>
      </c>
      <c r="I48" s="16">
        <f t="array" ref="I48">(IF(COUNT(L48,N48,Q48,U48,V48)&lt;3,SUM(L48,N48,Q48,U48,V48),SUM(LARGE((L48,N48,Q48,U48,V48),{1;2;3}))))+(IF(COUNT(K48,O48,S48,T48)&lt;3,SUM(K48,O48,S48,T48),SUM(LARGE((K48,O48,S48,T48),{1;2;3}))))+(IF(COUNT(J48,M48,P48,R48)&lt;3,SUM(J48,M48,P48,R48),SUM(LARGE((J48,M48,P48,R48),{1;2;3}))))</f>
        <v>20</v>
      </c>
      <c r="J48" s="615">
        <v>20</v>
      </c>
      <c r="K48" s="1237" t="s">
        <v>313</v>
      </c>
      <c r="L48" s="1238" t="s">
        <v>313</v>
      </c>
      <c r="M48" s="1238" t="s">
        <v>313</v>
      </c>
      <c r="N48" s="1238" t="s">
        <v>313</v>
      </c>
      <c r="O48" s="727"/>
      <c r="P48" s="727"/>
      <c r="Q48" s="727"/>
      <c r="R48" s="727"/>
      <c r="S48" s="727"/>
      <c r="T48" s="727"/>
      <c r="U48" s="727"/>
      <c r="V48" s="727"/>
      <c r="W48" s="231">
        <f t="shared" si="11"/>
        <v>1</v>
      </c>
      <c r="X48" s="231">
        <f t="shared" si="12"/>
        <v>0</v>
      </c>
      <c r="Y48" s="231">
        <f t="shared" si="13"/>
        <v>0</v>
      </c>
      <c r="Z48" s="727">
        <f t="shared" si="14"/>
        <v>1</v>
      </c>
      <c r="AA48" s="727">
        <f t="shared" si="15"/>
        <v>1</v>
      </c>
      <c r="AB48" s="727">
        <f t="shared" si="16"/>
        <v>2</v>
      </c>
    </row>
    <row r="49" spans="1:28" x14ac:dyDescent="0.2">
      <c r="A49" s="40">
        <f t="shared" si="9"/>
        <v>42</v>
      </c>
      <c r="B49" s="1298">
        <v>42</v>
      </c>
      <c r="C49" s="506"/>
      <c r="D49" s="508"/>
      <c r="E49" s="726" t="s">
        <v>402</v>
      </c>
      <c r="F49" s="1295">
        <v>18</v>
      </c>
      <c r="G49" s="16">
        <f t="shared" si="10"/>
        <v>18.000000001</v>
      </c>
      <c r="H49" s="39">
        <f t="shared" si="8"/>
        <v>1.0000000000000001E-9</v>
      </c>
      <c r="I49" s="16">
        <f t="array" ref="I49">(IF(COUNT(L49,N49,Q49,U49,V49)&lt;3,SUM(L49,N49,Q49,U49,V49),SUM(LARGE((L49,N49,Q49,U49,V49),{1;2;3}))))+(IF(COUNT(K49,O49,S49,T49)&lt;3,SUM(K49,O49,S49,T49),SUM(LARGE((K49,O49,S49,T49),{1;2;3}))))+(IF(COUNT(J49,M49,P49,R49)&lt;3,SUM(J49,M49,P49,R49),SUM(LARGE((J49,M49,P49,R49),{1;2;3}))))</f>
        <v>18</v>
      </c>
      <c r="J49" s="1238" t="s">
        <v>313</v>
      </c>
      <c r="K49" s="1237" t="s">
        <v>313</v>
      </c>
      <c r="L49" s="1238" t="s">
        <v>313</v>
      </c>
      <c r="M49" s="615">
        <v>18</v>
      </c>
      <c r="N49" s="1238" t="s">
        <v>313</v>
      </c>
      <c r="O49" s="615"/>
      <c r="P49" s="727"/>
      <c r="Q49" s="727"/>
      <c r="R49" s="727"/>
      <c r="S49" s="727"/>
      <c r="T49" s="727"/>
      <c r="U49" s="727"/>
      <c r="V49" s="727"/>
      <c r="W49" s="231">
        <f t="shared" si="11"/>
        <v>1</v>
      </c>
      <c r="X49" s="231">
        <f t="shared" si="12"/>
        <v>0</v>
      </c>
      <c r="Y49" s="231">
        <f t="shared" si="13"/>
        <v>0</v>
      </c>
      <c r="Z49" s="727">
        <f t="shared" si="14"/>
        <v>1</v>
      </c>
      <c r="AA49" s="727">
        <f t="shared" si="15"/>
        <v>1</v>
      </c>
      <c r="AB49" s="727">
        <f t="shared" si="16"/>
        <v>2</v>
      </c>
    </row>
    <row r="50" spans="1:28" x14ac:dyDescent="0.2">
      <c r="A50" s="40">
        <f t="shared" si="9"/>
        <v>42</v>
      </c>
      <c r="B50" s="1298">
        <v>42</v>
      </c>
      <c r="C50" s="506"/>
      <c r="D50" s="508"/>
      <c r="E50" s="726" t="s">
        <v>392</v>
      </c>
      <c r="F50" s="1295">
        <v>18</v>
      </c>
      <c r="G50" s="16">
        <f t="shared" si="10"/>
        <v>18.000000001</v>
      </c>
      <c r="H50" s="39">
        <f t="shared" si="8"/>
        <v>1.0000000000000001E-9</v>
      </c>
      <c r="I50" s="16">
        <f t="array" ref="I50">(IF(COUNT(L50,N50,Q50,U50,V50)&lt;3,SUM(L50,N50,Q50,U50,V50),SUM(LARGE((L50,N50,Q50,U50,V50),{1;2;3}))))+(IF(COUNT(K50,O50,S50,T50)&lt;3,SUM(K50,O50,S50,T50),SUM(LARGE((K50,O50,S50,T50),{1;2;3}))))+(IF(COUNT(J50,M50,P50,R50)&lt;3,SUM(J50,M50,P50,R50),SUM(LARGE((J50,M50,P50,R50),{1;2;3}))))</f>
        <v>18</v>
      </c>
      <c r="J50" s="1238" t="s">
        <v>313</v>
      </c>
      <c r="K50" s="1237" t="s">
        <v>313</v>
      </c>
      <c r="L50" s="615">
        <v>18</v>
      </c>
      <c r="M50" s="615"/>
      <c r="N50" s="1238" t="s">
        <v>313</v>
      </c>
      <c r="O50" s="615"/>
      <c r="P50" s="727"/>
      <c r="Q50" s="1237" t="s">
        <v>313</v>
      </c>
      <c r="R50" s="727"/>
      <c r="S50" s="727"/>
      <c r="T50" s="727"/>
      <c r="U50" s="727"/>
      <c r="V50" s="727"/>
      <c r="W50" s="231">
        <f t="shared" si="11"/>
        <v>1</v>
      </c>
      <c r="X50" s="231">
        <f t="shared" si="12"/>
        <v>0</v>
      </c>
      <c r="Y50" s="231">
        <f t="shared" si="13"/>
        <v>0</v>
      </c>
      <c r="Z50" s="727">
        <f t="shared" si="14"/>
        <v>1</v>
      </c>
      <c r="AA50" s="727">
        <f t="shared" si="15"/>
        <v>1</v>
      </c>
      <c r="AB50" s="727">
        <f t="shared" si="16"/>
        <v>2</v>
      </c>
    </row>
    <row r="51" spans="1:28" x14ac:dyDescent="0.2">
      <c r="A51" s="40">
        <f t="shared" si="9"/>
        <v>42</v>
      </c>
      <c r="B51" s="1298">
        <v>42</v>
      </c>
      <c r="C51" s="506"/>
      <c r="D51" s="508"/>
      <c r="E51" s="726" t="s">
        <v>344</v>
      </c>
      <c r="F51" s="1295">
        <v>18</v>
      </c>
      <c r="G51" s="16">
        <f t="shared" si="10"/>
        <v>18.000000001</v>
      </c>
      <c r="H51" s="39">
        <f t="shared" si="8"/>
        <v>1.0000000000000001E-9</v>
      </c>
      <c r="I51" s="16">
        <f t="array" ref="I51">(IF(COUNT(L51,N51,Q51,U51,V51)&lt;3,SUM(L51,N51,Q51,U51,V51),SUM(LARGE((L51,N51,Q51,U51,V51),{1;2;3}))))+(IF(COUNT(K51,O51,S51,T51)&lt;3,SUM(K51,O51,S51,T51),SUM(LARGE((K51,O51,S51,T51),{1;2;3}))))+(IF(COUNT(J51,M51,P51,R51)&lt;3,SUM(J51,M51,P51,R51),SUM(LARGE((J51,M51,P51,R51),{1;2;3}))))</f>
        <v>18</v>
      </c>
      <c r="J51" s="1238" t="s">
        <v>313</v>
      </c>
      <c r="K51" s="1237" t="s">
        <v>313</v>
      </c>
      <c r="L51" s="1238" t="s">
        <v>313</v>
      </c>
      <c r="M51" s="615"/>
      <c r="N51" s="1238" t="s">
        <v>313</v>
      </c>
      <c r="O51" s="727">
        <v>18</v>
      </c>
      <c r="P51" s="727"/>
      <c r="Q51" s="727"/>
      <c r="R51" s="727"/>
      <c r="S51" s="727"/>
      <c r="T51" s="727"/>
      <c r="U51" s="727"/>
      <c r="V51" s="727"/>
      <c r="W51" s="231">
        <f t="shared" si="11"/>
        <v>1</v>
      </c>
      <c r="X51" s="231">
        <f t="shared" si="12"/>
        <v>0</v>
      </c>
      <c r="Y51" s="231">
        <f t="shared" si="13"/>
        <v>0</v>
      </c>
      <c r="Z51" s="727">
        <f t="shared" si="14"/>
        <v>1</v>
      </c>
      <c r="AA51" s="727">
        <f t="shared" si="15"/>
        <v>1</v>
      </c>
      <c r="AB51" s="727">
        <f t="shared" si="16"/>
        <v>2</v>
      </c>
    </row>
    <row r="52" spans="1:28" x14ac:dyDescent="0.2">
      <c r="A52" s="40">
        <f t="shared" si="9"/>
        <v>42</v>
      </c>
      <c r="B52" s="1298">
        <v>42</v>
      </c>
      <c r="C52" s="506"/>
      <c r="D52" s="508"/>
      <c r="E52" s="726" t="s">
        <v>401</v>
      </c>
      <c r="F52" s="1295">
        <v>18</v>
      </c>
      <c r="G52" s="16">
        <f t="shared" si="10"/>
        <v>18.000000001</v>
      </c>
      <c r="H52" s="39">
        <f t="shared" si="8"/>
        <v>1.0000000000000001E-9</v>
      </c>
      <c r="I52" s="16">
        <f t="array" ref="I52">(IF(COUNT(L52,N52,Q52,U52,V52)&lt;3,SUM(L52,N52,Q52,U52,V52),SUM(LARGE((L52,N52,Q52,U52,V52),{1;2;3}))))+(IF(COUNT(K52,O52,S52,T52)&lt;3,SUM(K52,O52,S52,T52),SUM(LARGE((K52,O52,S52,T52),{1;2;3}))))+(IF(COUNT(J52,M52,P52,R52)&lt;3,SUM(J52,M52,P52,R52),SUM(LARGE((J52,M52,P52,R52),{1;2;3}))))</f>
        <v>18</v>
      </c>
      <c r="J52" s="1238" t="s">
        <v>313</v>
      </c>
      <c r="K52" s="1237" t="s">
        <v>313</v>
      </c>
      <c r="L52" s="1238" t="s">
        <v>313</v>
      </c>
      <c r="M52" s="727">
        <v>18</v>
      </c>
      <c r="N52" s="1238" t="s">
        <v>313</v>
      </c>
      <c r="O52" s="727"/>
      <c r="P52" s="727"/>
      <c r="Q52" s="727"/>
      <c r="R52" s="727"/>
      <c r="S52" s="727"/>
      <c r="T52" s="727"/>
      <c r="U52" s="727"/>
      <c r="V52" s="727"/>
      <c r="W52" s="231">
        <f t="shared" si="11"/>
        <v>1</v>
      </c>
      <c r="X52" s="231">
        <f t="shared" si="12"/>
        <v>0</v>
      </c>
      <c r="Y52" s="231">
        <f t="shared" si="13"/>
        <v>0</v>
      </c>
      <c r="Z52" s="727">
        <f t="shared" si="14"/>
        <v>1</v>
      </c>
      <c r="AA52" s="727">
        <f t="shared" si="15"/>
        <v>1</v>
      </c>
      <c r="AB52" s="727">
        <f t="shared" si="16"/>
        <v>2</v>
      </c>
    </row>
    <row r="53" spans="1:28" x14ac:dyDescent="0.2">
      <c r="A53" s="40">
        <f t="shared" si="9"/>
        <v>46</v>
      </c>
      <c r="B53" s="1298">
        <v>46</v>
      </c>
      <c r="C53" s="506"/>
      <c r="D53" s="508"/>
      <c r="E53" s="726" t="s">
        <v>495</v>
      </c>
      <c r="F53" s="1296">
        <v>16</v>
      </c>
      <c r="G53" s="16">
        <f t="shared" si="10"/>
        <v>16.000000000099998</v>
      </c>
      <c r="H53" s="39">
        <f t="shared" si="8"/>
        <v>1E-10</v>
      </c>
      <c r="I53" s="16">
        <f t="array" ref="I53">(IF(COUNT(L53,N53,Q53,U53,V53)&lt;3,SUM(L53,N53,Q53,U53,V53),SUM(LARGE((L53,N53,Q53,U53,V53),{1;2;3}))))+(IF(COUNT(K53,O53,S53,T53)&lt;3,SUM(K53,O53,S53,T53),SUM(LARGE((K53,O53,S53,T53),{1;2;3}))))+(IF(COUNT(J53,M53,P53,R53)&lt;3,SUM(J53,M53,P53,R53),SUM(LARGE((J53,M53,P53,R53),{1;2;3}))))</f>
        <v>16</v>
      </c>
      <c r="J53" s="1238" t="s">
        <v>313</v>
      </c>
      <c r="K53" s="1237" t="s">
        <v>313</v>
      </c>
      <c r="L53" s="1238" t="s">
        <v>313</v>
      </c>
      <c r="M53" s="615"/>
      <c r="N53" s="1238" t="s">
        <v>313</v>
      </c>
      <c r="O53" s="615"/>
      <c r="P53" s="727"/>
      <c r="Q53" s="727"/>
      <c r="R53" s="727">
        <v>16</v>
      </c>
      <c r="S53" s="727"/>
      <c r="T53" s="727"/>
      <c r="U53" s="727"/>
      <c r="V53" s="727"/>
      <c r="W53" s="231">
        <f t="shared" si="11"/>
        <v>1</v>
      </c>
      <c r="X53" s="231">
        <f t="shared" si="12"/>
        <v>0</v>
      </c>
      <c r="Y53" s="231">
        <f t="shared" si="13"/>
        <v>0</v>
      </c>
      <c r="Z53" s="727">
        <f t="shared" si="14"/>
        <v>1</v>
      </c>
      <c r="AA53" s="727">
        <f t="shared" si="15"/>
        <v>1</v>
      </c>
      <c r="AB53" s="727">
        <f t="shared" si="16"/>
        <v>2</v>
      </c>
    </row>
    <row r="54" spans="1:28" x14ac:dyDescent="0.2">
      <c r="A54" s="40">
        <f t="shared" si="9"/>
        <v>46</v>
      </c>
      <c r="B54" s="1298">
        <v>46</v>
      </c>
      <c r="C54" s="506"/>
      <c r="D54" s="508"/>
      <c r="E54" s="458" t="s">
        <v>312</v>
      </c>
      <c r="F54" s="1295">
        <v>16</v>
      </c>
      <c r="G54" s="16">
        <f t="shared" si="10"/>
        <v>16.000000000099998</v>
      </c>
      <c r="H54" s="39">
        <f t="shared" si="8"/>
        <v>1E-10</v>
      </c>
      <c r="I54" s="16">
        <f t="array" ref="I54">(IF(COUNT(L54,N54,Q54,U54,V54)&lt;3,SUM(L54,N54,Q54,U54,V54),SUM(LARGE((L54,N54,Q54,U54,V54),{1;2;3}))))+(IF(COUNT(K54,O54,S54,T54)&lt;3,SUM(K54,O54,S54,T54),SUM(LARGE((K54,O54,S54,T54),{1;2;3}))))+(IF(COUNT(J54,M54,P54,R54)&lt;3,SUM(J54,M54,P54,R54),SUM(LARGE((J54,M54,P54,R54),{1;2;3}))))</f>
        <v>16</v>
      </c>
      <c r="J54" s="1238" t="s">
        <v>313</v>
      </c>
      <c r="K54" s="615">
        <v>16</v>
      </c>
      <c r="L54" s="1238" t="s">
        <v>313</v>
      </c>
      <c r="M54" s="615"/>
      <c r="N54" s="1238" t="s">
        <v>313</v>
      </c>
      <c r="O54" s="1237" t="s">
        <v>313</v>
      </c>
      <c r="P54" s="727"/>
      <c r="Q54" s="727"/>
      <c r="R54" s="727"/>
      <c r="S54" s="727"/>
      <c r="T54" s="727"/>
      <c r="U54" s="727"/>
      <c r="V54" s="727"/>
      <c r="W54" s="231">
        <f t="shared" si="11"/>
        <v>1</v>
      </c>
      <c r="X54" s="231">
        <f t="shared" si="12"/>
        <v>0</v>
      </c>
      <c r="Y54" s="231">
        <f t="shared" si="13"/>
        <v>0</v>
      </c>
      <c r="Z54" s="727">
        <f t="shared" si="14"/>
        <v>1</v>
      </c>
      <c r="AA54" s="727">
        <f t="shared" si="15"/>
        <v>1</v>
      </c>
      <c r="AB54" s="727">
        <f t="shared" si="16"/>
        <v>2</v>
      </c>
    </row>
    <row r="55" spans="1:28" x14ac:dyDescent="0.2">
      <c r="A55" s="40">
        <f t="shared" si="9"/>
        <v>48</v>
      </c>
      <c r="B55" s="1298">
        <v>48</v>
      </c>
      <c r="C55" s="418"/>
      <c r="D55" s="507"/>
      <c r="E55" s="728" t="s">
        <v>72</v>
      </c>
      <c r="F55" s="1295">
        <v>14</v>
      </c>
      <c r="G55" s="16">
        <f t="shared" si="10"/>
        <v>14.000000000009999</v>
      </c>
      <c r="H55" s="39">
        <f t="shared" si="8"/>
        <v>9.9999999999999994E-12</v>
      </c>
      <c r="I55" s="16">
        <f t="array" ref="I55">(IF(COUNT(L55,N55,Q55,U55,V55)&lt;3,SUM(L55,N55,Q55,U55,V55),SUM(LARGE((L55,N55,Q55,U55,V55),{1;2;3}))))+(IF(COUNT(K55,O55,S55,T55)&lt;3,SUM(K55,O55,S55,T55),SUM(LARGE((K55,O55,S55,T55),{1;2;3}))))+(IF(COUNT(J55,M55,P55,R55)&lt;3,SUM(J55,M55,P55,R55),SUM(LARGE((J55,M55,P55,R55),{1;2;3}))))</f>
        <v>14</v>
      </c>
      <c r="J55" s="1238" t="s">
        <v>313</v>
      </c>
      <c r="K55" s="1237" t="s">
        <v>313</v>
      </c>
      <c r="L55" s="615">
        <v>14</v>
      </c>
      <c r="M55" s="615"/>
      <c r="N55" s="1238" t="s">
        <v>313</v>
      </c>
      <c r="O55" s="615"/>
      <c r="P55" s="727"/>
      <c r="Q55" s="1237" t="s">
        <v>313</v>
      </c>
      <c r="R55" s="727"/>
      <c r="S55" s="727"/>
      <c r="T55" s="727"/>
      <c r="U55" s="727"/>
      <c r="V55" s="727"/>
      <c r="W55" s="231">
        <f t="shared" si="11"/>
        <v>1</v>
      </c>
      <c r="X55" s="231">
        <f t="shared" si="12"/>
        <v>0</v>
      </c>
      <c r="Y55" s="231">
        <f t="shared" si="13"/>
        <v>0</v>
      </c>
      <c r="Z55" s="727">
        <f t="shared" si="14"/>
        <v>1</v>
      </c>
      <c r="AA55" s="727">
        <f t="shared" si="15"/>
        <v>1</v>
      </c>
      <c r="AB55" s="727">
        <f t="shared" si="16"/>
        <v>2</v>
      </c>
    </row>
    <row r="56" spans="1:28" x14ac:dyDescent="0.2">
      <c r="A56" s="40">
        <f t="shared" si="9"/>
        <v>49</v>
      </c>
      <c r="B56" s="1298">
        <v>49</v>
      </c>
      <c r="C56" s="418">
        <v>6</v>
      </c>
      <c r="D56" s="507"/>
      <c r="E56" s="657" t="s">
        <v>423</v>
      </c>
      <c r="F56" s="1295">
        <v>1</v>
      </c>
      <c r="G56" s="16">
        <f t="shared" si="10"/>
        <v>1</v>
      </c>
      <c r="H56" s="39">
        <f t="shared" si="8"/>
        <v>0</v>
      </c>
      <c r="I56" s="16">
        <f t="array" ref="I56">(IF(COUNT(L56,N56,Q56,U56,V56)&lt;3,SUM(L56,N56,Q56,U56,V56),SUM(LARGE((L56,N56,Q56,U56,V56),{1;2;3}))))+(IF(COUNT(K56,O56,S56,T56)&lt;3,SUM(K56,O56,S56,T56),SUM(LARGE((K56,O56,S56,T56),{1;2;3}))))+(IF(COUNT(J56,M56,P56,R56)&lt;3,SUM(J56,M56,P56,R56),SUM(LARGE((J56,M56,P56,R56),{1;2;3}))))</f>
        <v>1</v>
      </c>
      <c r="J56" s="1238" t="s">
        <v>313</v>
      </c>
      <c r="K56" s="1237" t="s">
        <v>313</v>
      </c>
      <c r="L56" s="1238" t="s">
        <v>313</v>
      </c>
      <c r="M56" s="727"/>
      <c r="N56" s="727">
        <v>1</v>
      </c>
      <c r="O56" s="615"/>
      <c r="P56" s="727"/>
      <c r="Q56" s="1237" t="s">
        <v>313</v>
      </c>
      <c r="R56" s="615"/>
      <c r="S56" s="615"/>
      <c r="T56" s="615"/>
      <c r="U56" s="727"/>
      <c r="V56" s="615"/>
      <c r="W56" s="231">
        <f t="shared" si="11"/>
        <v>1</v>
      </c>
      <c r="X56" s="231">
        <f t="shared" si="12"/>
        <v>0</v>
      </c>
      <c r="Y56" s="231">
        <f t="shared" si="13"/>
        <v>0</v>
      </c>
      <c r="Z56" s="727">
        <f t="shared" si="14"/>
        <v>1</v>
      </c>
      <c r="AA56" s="727">
        <f t="shared" si="15"/>
        <v>1</v>
      </c>
      <c r="AB56" s="727">
        <f t="shared" si="16"/>
        <v>2</v>
      </c>
    </row>
    <row r="57" spans="1:28" x14ac:dyDescent="0.2">
      <c r="A57" s="40">
        <f t="shared" si="9"/>
        <v>49</v>
      </c>
      <c r="B57" s="1298">
        <v>49</v>
      </c>
      <c r="C57" s="506"/>
      <c r="D57" s="508"/>
      <c r="E57" s="726" t="s">
        <v>391</v>
      </c>
      <c r="F57" s="1295">
        <v>1</v>
      </c>
      <c r="G57" s="16">
        <f t="shared" si="10"/>
        <v>1</v>
      </c>
      <c r="H57" s="39">
        <f t="shared" si="8"/>
        <v>0</v>
      </c>
      <c r="I57" s="16">
        <f t="array" ref="I57">(IF(COUNT(L57,N57,Q57,U57,V57)&lt;3,SUM(L57,N57,Q57,U57,V57),SUM(LARGE((L57,N57,Q57,U57,V57),{1;2;3}))))+(IF(COUNT(K57,O57,S57,T57)&lt;3,SUM(K57,O57,S57,T57),SUM(LARGE((K57,O57,S57,T57),{1;2;3}))))+(IF(COUNT(J57,M57,P57,R57)&lt;3,SUM(J57,M57,P57,R57),SUM(LARGE((J57,M57,P57,R57),{1;2;3}))))</f>
        <v>1</v>
      </c>
      <c r="J57" s="1238" t="s">
        <v>313</v>
      </c>
      <c r="K57" s="1237" t="s">
        <v>313</v>
      </c>
      <c r="L57" s="615">
        <v>1</v>
      </c>
      <c r="M57" s="615"/>
      <c r="N57" s="1238" t="s">
        <v>313</v>
      </c>
      <c r="O57" s="615"/>
      <c r="P57" s="727"/>
      <c r="Q57" s="1237" t="s">
        <v>313</v>
      </c>
      <c r="R57" s="727"/>
      <c r="S57" s="727"/>
      <c r="T57" s="727"/>
      <c r="U57" s="727"/>
      <c r="V57" s="727"/>
      <c r="W57" s="231">
        <f t="shared" si="11"/>
        <v>1</v>
      </c>
      <c r="X57" s="231">
        <f t="shared" si="12"/>
        <v>0</v>
      </c>
      <c r="Y57" s="231">
        <f t="shared" si="13"/>
        <v>0</v>
      </c>
      <c r="Z57" s="727">
        <f t="shared" si="14"/>
        <v>1</v>
      </c>
      <c r="AA57" s="727">
        <f t="shared" si="15"/>
        <v>1</v>
      </c>
      <c r="AB57" s="727">
        <f t="shared" si="16"/>
        <v>2</v>
      </c>
    </row>
    <row r="58" spans="1:28" x14ac:dyDescent="0.2">
      <c r="A58" s="219"/>
      <c r="B58" s="235">
        <f>COUNT(B8:B57)</f>
        <v>50</v>
      </c>
      <c r="C58" s="1306">
        <f>COUNT(C8:C57)</f>
        <v>6</v>
      </c>
      <c r="D58" s="1307">
        <f>COUNT(D8:D57)</f>
        <v>2</v>
      </c>
      <c r="E58" s="236" t="s">
        <v>74</v>
      </c>
      <c r="F58" s="237"/>
      <c r="G58" s="237"/>
      <c r="H58" s="237"/>
      <c r="I58" s="237"/>
      <c r="J58" s="238">
        <f t="shared" ref="J58:V58" si="17">COUNTIF(J8:J57,"&gt;=0")</f>
        <v>25</v>
      </c>
      <c r="K58" s="238">
        <f t="shared" si="17"/>
        <v>22</v>
      </c>
      <c r="L58" s="238">
        <f t="shared" si="17"/>
        <v>25</v>
      </c>
      <c r="M58" s="238">
        <f t="shared" si="17"/>
        <v>27</v>
      </c>
      <c r="N58" s="238">
        <f t="shared" si="17"/>
        <v>25</v>
      </c>
      <c r="O58" s="238">
        <f t="shared" si="17"/>
        <v>19</v>
      </c>
      <c r="P58" s="238">
        <f t="shared" si="17"/>
        <v>27</v>
      </c>
      <c r="Q58" s="238">
        <f t="shared" si="17"/>
        <v>19</v>
      </c>
      <c r="R58" s="238">
        <f t="shared" si="17"/>
        <v>28</v>
      </c>
      <c r="S58" s="238">
        <f t="shared" si="17"/>
        <v>18</v>
      </c>
      <c r="T58" s="238">
        <f t="shared" si="17"/>
        <v>24</v>
      </c>
      <c r="U58" s="238">
        <f t="shared" si="17"/>
        <v>14</v>
      </c>
      <c r="V58" s="238">
        <f t="shared" si="17"/>
        <v>18</v>
      </c>
      <c r="W58" s="219"/>
      <c r="X58" s="239">
        <f>SUM(X8:X57)</f>
        <v>77</v>
      </c>
      <c r="Y58" s="239">
        <f>SUM(Y8:Y57)</f>
        <v>27</v>
      </c>
      <c r="Z58" s="239"/>
      <c r="AA58" s="239"/>
      <c r="AB58" s="239"/>
    </row>
    <row r="59" spans="1:28" x14ac:dyDescent="0.2">
      <c r="A59" s="219"/>
      <c r="B59" s="219"/>
      <c r="C59" s="219"/>
      <c r="D59" s="240"/>
      <c r="E59" s="236" t="s">
        <v>75</v>
      </c>
      <c r="F59" s="237"/>
      <c r="G59" s="237"/>
      <c r="H59" s="237"/>
      <c r="I59" s="237"/>
      <c r="J59" s="421">
        <f>IF((J58/(LEN(J7)-LEN(SUBSTITUTE(J7,"*","")))-0.5)&lt;0,"",J58/(LEN(J7)-LEN(SUBSTITUTE(J7,"*","")))-0.5)</f>
        <v>7.8333333333333339</v>
      </c>
      <c r="K59" s="421">
        <f>IF((K58/(LEN(K7)-LEN(SUBSTITUTE(K7,"*","")))-0.5)&lt;0,"",K58/(LEN(K7)-LEN(SUBSTITUTE(K7,"*","")))-0.5)</f>
        <v>10.5</v>
      </c>
      <c r="L59" s="421"/>
      <c r="M59" s="421">
        <f>IF((M58/(LEN(M7)-LEN(SUBSTITUTE(M7,"*","")))-0.5)&lt;0,"",M58/(LEN(M7)-LEN(SUBSTITUTE(M7,"*","")))-0.5)</f>
        <v>8.5</v>
      </c>
      <c r="N59" s="421"/>
      <c r="O59" s="421">
        <f>IF((O58/(LEN(O7)-LEN(SUBSTITUTE(O7,"*","")))-0.5)&lt;0,"",O58/(LEN(O7)-LEN(SUBSTITUTE(O7,"*","")))-0.5)</f>
        <v>9</v>
      </c>
      <c r="P59" s="421">
        <f>IF((P58/(LEN(P7)-LEN(SUBSTITUTE(P7,"*","")))-0.5)&lt;0,"",P58/(LEN(P7)-LEN(SUBSTITUTE(P7,"*","")))-0.5)</f>
        <v>8.5</v>
      </c>
      <c r="Q59" s="421"/>
      <c r="R59" s="421">
        <f>IF((R58/(LEN(R7)-LEN(SUBSTITUTE(R7,"*","")))-0.5)&lt;0,"",R58/(LEN(R7)-LEN(SUBSTITUTE(R7,"*","")))-0.5)</f>
        <v>8.8333333333333339</v>
      </c>
      <c r="S59" s="421">
        <f>IF((S58/(LEN(S7)-LEN(SUBSTITUTE(S7,"*","")))-0.5)&lt;0,"",S58/(LEN(S7)-LEN(SUBSTITUTE(S7,"*","")))-0.5)</f>
        <v>8.5</v>
      </c>
      <c r="T59" s="421">
        <f>IF((T58/(LEN(T7)-LEN(SUBSTITUTE(T7,"*","")))-0.5)&lt;0,"",T58/(LEN(T7)-LEN(SUBSTITUTE(T7,"*","")))-0.5)</f>
        <v>11.5</v>
      </c>
      <c r="U59" s="421"/>
      <c r="V59" s="421"/>
      <c r="W59" s="219"/>
      <c r="X59" s="219"/>
      <c r="Y59" s="219"/>
      <c r="Z59" s="219"/>
      <c r="AA59" s="219"/>
      <c r="AB59" s="219"/>
    </row>
    <row r="61" spans="1:28" x14ac:dyDescent="0.2">
      <c r="A61" s="242" t="s">
        <v>76</v>
      </c>
      <c r="C61" s="241"/>
      <c r="D61" s="731"/>
      <c r="E61" s="241"/>
      <c r="F61" s="241"/>
      <c r="G61" s="241"/>
      <c r="H61" s="241"/>
      <c r="I61" s="241"/>
      <c r="V61" s="731"/>
    </row>
    <row r="62" spans="1:28" x14ac:dyDescent="0.2">
      <c r="A62" s="242" t="s">
        <v>77</v>
      </c>
      <c r="C62" s="241"/>
      <c r="D62" s="731"/>
      <c r="E62" s="241"/>
      <c r="F62" s="241"/>
      <c r="G62" s="241"/>
      <c r="H62" s="241"/>
      <c r="I62" s="241"/>
      <c r="V62" s="731"/>
    </row>
    <row r="63" spans="1:28" x14ac:dyDescent="0.2">
      <c r="A63" s="243" t="s">
        <v>78</v>
      </c>
      <c r="C63" s="241"/>
      <c r="D63" s="731"/>
      <c r="E63" s="241"/>
      <c r="F63" s="241"/>
      <c r="G63" s="241"/>
      <c r="H63" s="241"/>
      <c r="I63" s="241"/>
      <c r="V63" s="731"/>
    </row>
    <row r="64" spans="1:28" x14ac:dyDescent="0.2">
      <c r="C64" s="241"/>
      <c r="D64" s="731"/>
      <c r="E64" s="241"/>
      <c r="F64" s="241"/>
      <c r="G64" s="241"/>
      <c r="H64" s="241"/>
      <c r="I64" s="241"/>
      <c r="V64" s="731"/>
    </row>
    <row r="65" spans="1:22" x14ac:dyDescent="0.2">
      <c r="A65" s="244" t="s">
        <v>128</v>
      </c>
      <c r="C65" s="241"/>
      <c r="D65" s="731"/>
      <c r="E65" s="232"/>
      <c r="I65" s="241"/>
      <c r="V65" s="731"/>
    </row>
    <row r="66" spans="1:22" ht="15" customHeight="1" x14ac:dyDescent="0.2">
      <c r="C66" s="241"/>
      <c r="D66" s="731"/>
      <c r="E66" s="731" t="s">
        <v>44</v>
      </c>
      <c r="F66" s="731" t="s">
        <v>71</v>
      </c>
      <c r="G66" s="731"/>
      <c r="H66" s="731"/>
      <c r="I66" s="731"/>
      <c r="N66" s="731" t="s">
        <v>67</v>
      </c>
      <c r="T66" s="731" t="s">
        <v>70</v>
      </c>
      <c r="V66" s="731"/>
    </row>
    <row r="67" spans="1:22" ht="15" customHeight="1" x14ac:dyDescent="0.2">
      <c r="C67" s="241"/>
      <c r="D67" s="731"/>
      <c r="E67" s="731" t="s">
        <v>61</v>
      </c>
      <c r="F67" s="731" t="s">
        <v>80</v>
      </c>
      <c r="G67" s="731"/>
      <c r="H67" s="731"/>
      <c r="I67" s="731"/>
      <c r="N67" s="731" t="s">
        <v>52</v>
      </c>
      <c r="T67" s="731" t="s">
        <v>79</v>
      </c>
      <c r="V67" s="731"/>
    </row>
    <row r="68" spans="1:22" ht="15" customHeight="1" x14ac:dyDescent="0.2">
      <c r="C68" s="241"/>
      <c r="D68" s="731"/>
      <c r="E68" s="731" t="s">
        <v>54</v>
      </c>
      <c r="F68" s="731" t="s">
        <v>66</v>
      </c>
      <c r="G68" s="731"/>
      <c r="H68" s="731"/>
      <c r="I68" s="731"/>
      <c r="N68" s="731" t="s">
        <v>65</v>
      </c>
      <c r="O68" s="731"/>
      <c r="T68" s="731" t="s">
        <v>55</v>
      </c>
      <c r="V68" s="731"/>
    </row>
    <row r="69" spans="1:22" ht="15" customHeight="1" x14ac:dyDescent="0.2">
      <c r="C69" s="241"/>
      <c r="D69" s="731"/>
      <c r="E69" s="731" t="s">
        <v>81</v>
      </c>
      <c r="F69" s="731" t="s">
        <v>43</v>
      </c>
      <c r="G69" s="731"/>
      <c r="H69" s="731"/>
      <c r="I69" s="731"/>
      <c r="N69" s="731" t="s">
        <v>59</v>
      </c>
      <c r="O69" s="731"/>
      <c r="T69" s="731" t="s">
        <v>47</v>
      </c>
      <c r="V69" s="731"/>
    </row>
    <row r="70" spans="1:22" ht="15" customHeight="1" x14ac:dyDescent="0.2">
      <c r="C70" s="241"/>
      <c r="D70" s="731"/>
      <c r="E70" s="731" t="s">
        <v>53</v>
      </c>
      <c r="F70" s="731" t="s">
        <v>69</v>
      </c>
      <c r="G70" s="731"/>
      <c r="H70" s="731"/>
      <c r="I70" s="731"/>
      <c r="N70" s="731" t="s">
        <v>51</v>
      </c>
      <c r="O70" s="731"/>
      <c r="T70" s="731" t="s">
        <v>73</v>
      </c>
      <c r="V70" s="731"/>
    </row>
    <row r="71" spans="1:22" ht="15" customHeight="1" x14ac:dyDescent="0.2">
      <c r="C71" s="241"/>
      <c r="D71" s="731"/>
      <c r="E71" s="731" t="s">
        <v>83</v>
      </c>
      <c r="F71" s="731" t="s">
        <v>46</v>
      </c>
      <c r="G71" s="731"/>
      <c r="H71" s="731"/>
      <c r="I71" s="731"/>
      <c r="N71" s="731" t="s">
        <v>50</v>
      </c>
      <c r="O71" s="731"/>
      <c r="T71" s="731" t="s">
        <v>82</v>
      </c>
      <c r="V71" s="731"/>
    </row>
    <row r="72" spans="1:22" ht="15" customHeight="1" x14ac:dyDescent="0.2">
      <c r="C72" s="241"/>
      <c r="D72" s="731"/>
      <c r="E72" s="731" t="s">
        <v>68</v>
      </c>
      <c r="F72" s="731" t="s">
        <v>48</v>
      </c>
      <c r="G72" s="731"/>
      <c r="H72" s="731"/>
      <c r="I72" s="731"/>
      <c r="N72" s="731" t="s">
        <v>64</v>
      </c>
      <c r="T72" s="731" t="s">
        <v>84</v>
      </c>
      <c r="V72" s="731"/>
    </row>
    <row r="73" spans="1:22" ht="15" customHeight="1" x14ac:dyDescent="0.2">
      <c r="C73" s="241"/>
      <c r="D73" s="731"/>
      <c r="E73" s="731" t="s">
        <v>63</v>
      </c>
      <c r="F73" s="731" t="s">
        <v>15</v>
      </c>
      <c r="G73" s="731"/>
      <c r="H73" s="731"/>
      <c r="I73" s="731"/>
      <c r="N73" s="731" t="s">
        <v>339</v>
      </c>
      <c r="T73" s="731" t="s">
        <v>57</v>
      </c>
      <c r="U73" s="731"/>
      <c r="V73" s="731"/>
    </row>
    <row r="74" spans="1:22" ht="15" customHeight="1" x14ac:dyDescent="0.2">
      <c r="C74" s="241"/>
      <c r="D74" s="731"/>
      <c r="E74" s="731" t="s">
        <v>45</v>
      </c>
      <c r="F74" s="731" t="s">
        <v>58</v>
      </c>
      <c r="G74" s="731"/>
      <c r="H74" s="731"/>
      <c r="I74" s="241"/>
      <c r="N74" s="731" t="s">
        <v>85</v>
      </c>
      <c r="S74" s="731"/>
      <c r="T74" s="731" t="s">
        <v>49</v>
      </c>
      <c r="U74" s="731"/>
      <c r="V74" s="731"/>
    </row>
    <row r="75" spans="1:22" ht="15" customHeight="1" x14ac:dyDescent="0.2">
      <c r="C75" s="241"/>
      <c r="D75" s="731"/>
      <c r="E75" s="731" t="s">
        <v>60</v>
      </c>
      <c r="F75" s="731" t="s">
        <v>56</v>
      </c>
      <c r="G75" s="731"/>
      <c r="H75" s="731"/>
      <c r="I75" s="241"/>
      <c r="N75" s="731" t="s">
        <v>72</v>
      </c>
      <c r="S75" s="731"/>
      <c r="U75" s="731"/>
      <c r="V75" s="731"/>
    </row>
    <row r="76" spans="1:22" ht="15" customHeight="1" x14ac:dyDescent="0.2">
      <c r="F76" s="731"/>
      <c r="G76" s="731"/>
      <c r="H76" s="731"/>
      <c r="I76" s="731"/>
      <c r="O76" s="731"/>
    </row>
  </sheetData>
  <autoFilter ref="W7:AB57"/>
  <mergeCells count="3">
    <mergeCell ref="W5:W6"/>
    <mergeCell ref="X5:X6"/>
    <mergeCell ref="Y5:Y6"/>
  </mergeCells>
  <conditionalFormatting sqref="J58:V58">
    <cfRule type="top10" dxfId="154" priority="9" stopIfTrue="1" rank="1"/>
  </conditionalFormatting>
  <conditionalFormatting sqref="J8:V57">
    <cfRule type="cellIs" dxfId="153" priority="6" stopIfTrue="1" operator="equal">
      <formula>30</formula>
    </cfRule>
    <cfRule type="cellIs" dxfId="152" priority="7" stopIfTrue="1" operator="equal">
      <formula>34</formula>
    </cfRule>
    <cfRule type="cellIs" dxfId="151" priority="8" stopIfTrue="1" operator="equal">
      <formula>40</formula>
    </cfRule>
  </conditionalFormatting>
  <conditionalFormatting sqref="AB8:AB57">
    <cfRule type="cellIs" dxfId="150" priority="1" stopIfTrue="1" operator="equal">
      <formula>2</formula>
    </cfRule>
  </conditionalFormatting>
  <conditionalFormatting sqref="Z8:Z40 Z41:AA57">
    <cfRule type="cellIs" dxfId="149" priority="3" stopIfTrue="1" operator="equal">
      <formula>1</formula>
    </cfRule>
  </conditionalFormatting>
  <conditionalFormatting sqref="AA8:AA40">
    <cfRule type="cellIs" dxfId="148" priority="2" stopIfTrue="1" operator="equal">
      <formula>1</formula>
    </cfRule>
  </conditionalFormatting>
  <conditionalFormatting sqref="X8:X57">
    <cfRule type="top10" dxfId="147" priority="151" stopIfTrue="1" rank="1"/>
  </conditionalFormatting>
  <conditionalFormatting sqref="Y8:Y57">
    <cfRule type="top10" dxfId="146" priority="152" stopIfTrue="1" rank="1"/>
  </conditionalFormatting>
  <conditionalFormatting sqref="W8:W57">
    <cfRule type="top10" dxfId="145" priority="153" stopIfTrue="1" rank="1"/>
  </conditionalFormatting>
  <conditionalFormatting sqref="G8:G57">
    <cfRule type="duplicateValues" dxfId="144" priority="154" stopIfTrue="1"/>
  </conditionalFormatting>
  <conditionalFormatting sqref="I8:I57">
    <cfRule type="duplicateValues" dxfId="143" priority="155" stopIfTrue="1"/>
  </conditionalFormatting>
  <conditionalFormatting sqref="A8:A57">
    <cfRule type="duplicateValues" dxfId="142" priority="156" stopIfTrue="1"/>
  </conditionalFormatting>
  <conditionalFormatting sqref="E8:E57">
    <cfRule type="duplicateValues" dxfId="141" priority="157" stopIfTrue="1"/>
  </conditionalFormatting>
  <pageMargins left="0.78740157480314965" right="0.31496062992125984" top="0.78740157480314965" bottom="0.39370078740157483" header="0.59055118110236227" footer="0"/>
  <pageSetup paperSize="9" fitToHeight="0" orientation="portrait" useFirstPageNumber="1" verticalDpi="300" r:id="rId1"/>
  <headerFooter alignWithMargins="0">
    <oddHeader>&amp;R&amp;"Arial,Regular"&amp;9Page &amp;P of &amp;N</oddHeader>
  </headerFooter>
  <rowBreaks count="1" manualBreakCount="1">
    <brk id="54" max="2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showGridLines="0" showRowColHeaders="0" zoomScaleNormal="100" workbookViewId="0">
      <pane ySplit="2" topLeftCell="A12" activePane="bottomLeft" state="frozen"/>
      <selection activeCell="I1" sqref="I1"/>
      <selection pane="bottomLeft" activeCell="K1" sqref="K1"/>
    </sheetView>
  </sheetViews>
  <sheetFormatPr defaultColWidth="9.42578125" defaultRowHeight="12.75" x14ac:dyDescent="0.2"/>
  <cols>
    <col min="1" max="1" width="5.5703125" style="9" customWidth="1"/>
    <col min="2" max="2" width="18.7109375" style="9" bestFit="1" customWidth="1"/>
    <col min="3" max="8" width="7.7109375" style="9" customWidth="1"/>
    <col min="9" max="9" width="4" style="9" customWidth="1"/>
    <col min="10" max="238" width="9.140625" style="9" customWidth="1"/>
    <col min="239" max="16384" width="9.42578125" style="9"/>
  </cols>
  <sheetData>
    <row r="1" spans="1:9" x14ac:dyDescent="0.2">
      <c r="A1" s="45" t="str">
        <f>UPPER((Kalend!E5)&amp;" - "&amp;(Kalend!C5)&amp;" - "&amp;(Kalend!D5))</f>
        <v>A - VÄLISHOOAJA AVAVÕISTLUS - ÜKSIK</v>
      </c>
      <c r="G1" s="297" t="str">
        <f>HYPERLINK("#Kalend!I1","Kalender")</f>
        <v>Kalender</v>
      </c>
      <c r="I1" s="297" t="str">
        <f>HYPERLINK("#Reit!K1","Reiting")</f>
        <v>Reiting</v>
      </c>
    </row>
    <row r="2" spans="1:9" x14ac:dyDescent="0.2">
      <c r="A2" s="9" t="str">
        <f>"Toimumisaeg: "&amp;(Kalend!A5)&amp;" kell "&amp;(Kalend!B5)</f>
        <v>Toimumisaeg: P, 01.05.2016 kell 11:00</v>
      </c>
    </row>
    <row r="3" spans="1:9" x14ac:dyDescent="0.2">
      <c r="A3" s="9" t="str">
        <f>"Toimumiskoht: "&amp;(Kalend!F5)</f>
        <v>Toimumiskoht: K-Järve spordihoone</v>
      </c>
    </row>
    <row r="4" spans="1:9" x14ac:dyDescent="0.2">
      <c r="A4" s="9" t="str">
        <f>"Korraldaja: "&amp;(Kalend!G5)</f>
        <v>Korraldaja: K-Järve SHK, Ivar Viljaste</v>
      </c>
    </row>
    <row r="6" spans="1:9" s="105" customFormat="1" x14ac:dyDescent="0.2">
      <c r="A6" s="333" t="s">
        <v>138</v>
      </c>
      <c r="B6" s="333"/>
      <c r="C6" s="334">
        <v>1</v>
      </c>
      <c r="D6" s="334">
        <v>2</v>
      </c>
      <c r="E6" s="334">
        <v>3</v>
      </c>
      <c r="F6" s="334">
        <v>4</v>
      </c>
      <c r="G6" s="334" t="s">
        <v>235</v>
      </c>
      <c r="H6" s="334" t="s">
        <v>86</v>
      </c>
    </row>
    <row r="7" spans="1:9" s="105" customFormat="1" x14ac:dyDescent="0.2">
      <c r="A7" s="333">
        <v>1</v>
      </c>
      <c r="B7" s="364" t="s">
        <v>46</v>
      </c>
      <c r="C7" s="336"/>
      <c r="D7" s="337">
        <v>10</v>
      </c>
      <c r="E7" s="337">
        <v>2</v>
      </c>
      <c r="F7" s="334">
        <v>13</v>
      </c>
      <c r="G7" s="377" t="s">
        <v>243</v>
      </c>
      <c r="H7" s="366" t="s">
        <v>260</v>
      </c>
    </row>
    <row r="8" spans="1:9" s="105" customFormat="1" x14ac:dyDescent="0.2">
      <c r="A8" s="333">
        <v>2</v>
      </c>
      <c r="B8" s="335" t="s">
        <v>45</v>
      </c>
      <c r="C8" s="334">
        <v>13</v>
      </c>
      <c r="D8" s="336"/>
      <c r="E8" s="337">
        <v>7</v>
      </c>
      <c r="F8" s="334">
        <v>13</v>
      </c>
      <c r="G8" s="365" t="s">
        <v>258</v>
      </c>
      <c r="H8" s="366" t="s">
        <v>146</v>
      </c>
    </row>
    <row r="9" spans="1:9" s="105" customFormat="1" x14ac:dyDescent="0.2">
      <c r="A9" s="333">
        <v>3</v>
      </c>
      <c r="B9" s="335" t="s">
        <v>81</v>
      </c>
      <c r="C9" s="334">
        <v>13</v>
      </c>
      <c r="D9" s="367">
        <v>13</v>
      </c>
      <c r="E9" s="336"/>
      <c r="F9" s="334">
        <v>13</v>
      </c>
      <c r="G9" s="365" t="s">
        <v>257</v>
      </c>
      <c r="H9" s="338" t="s">
        <v>259</v>
      </c>
    </row>
    <row r="10" spans="1:9" s="105" customFormat="1" x14ac:dyDescent="0.2">
      <c r="A10" s="333">
        <v>4</v>
      </c>
      <c r="B10" s="335" t="s">
        <v>67</v>
      </c>
      <c r="C10" s="337">
        <v>3</v>
      </c>
      <c r="D10" s="337">
        <v>7</v>
      </c>
      <c r="E10" s="337">
        <v>5</v>
      </c>
      <c r="F10" s="336"/>
      <c r="G10" s="365" t="s">
        <v>256</v>
      </c>
      <c r="H10" s="366" t="s">
        <v>261</v>
      </c>
    </row>
    <row r="11" spans="1:9" s="105" customFormat="1" x14ac:dyDescent="0.2"/>
    <row r="12" spans="1:9" s="105" customFormat="1" x14ac:dyDescent="0.2">
      <c r="A12" s="333" t="s">
        <v>170</v>
      </c>
      <c r="B12" s="333"/>
      <c r="C12" s="334">
        <v>1</v>
      </c>
      <c r="D12" s="334">
        <v>2</v>
      </c>
      <c r="E12" s="334">
        <v>3</v>
      </c>
      <c r="F12" s="334">
        <v>4</v>
      </c>
      <c r="G12" s="334" t="s">
        <v>235</v>
      </c>
      <c r="H12" s="334" t="s">
        <v>86</v>
      </c>
    </row>
    <row r="13" spans="1:9" s="105" customFormat="1" x14ac:dyDescent="0.2">
      <c r="A13" s="333">
        <v>1</v>
      </c>
      <c r="B13" s="335" t="s">
        <v>56</v>
      </c>
      <c r="C13" s="336"/>
      <c r="D13" s="337">
        <v>11</v>
      </c>
      <c r="E13" s="337">
        <v>2</v>
      </c>
      <c r="F13" s="334">
        <v>13</v>
      </c>
      <c r="G13" s="365" t="s">
        <v>243</v>
      </c>
      <c r="H13" s="366" t="s">
        <v>260</v>
      </c>
    </row>
    <row r="14" spans="1:9" s="105" customFormat="1" x14ac:dyDescent="0.2">
      <c r="A14" s="333">
        <v>2</v>
      </c>
      <c r="B14" s="335" t="s">
        <v>48</v>
      </c>
      <c r="C14" s="334">
        <v>13</v>
      </c>
      <c r="D14" s="336"/>
      <c r="E14" s="334">
        <v>13</v>
      </c>
      <c r="F14" s="334">
        <v>13</v>
      </c>
      <c r="G14" s="365" t="s">
        <v>257</v>
      </c>
      <c r="H14" s="366" t="s">
        <v>259</v>
      </c>
    </row>
    <row r="15" spans="1:9" s="105" customFormat="1" x14ac:dyDescent="0.2">
      <c r="A15" s="333">
        <v>3</v>
      </c>
      <c r="B15" s="335" t="s">
        <v>53</v>
      </c>
      <c r="C15" s="334">
        <v>13</v>
      </c>
      <c r="D15" s="338">
        <v>5</v>
      </c>
      <c r="E15" s="336"/>
      <c r="F15" s="334">
        <v>13</v>
      </c>
      <c r="G15" s="365" t="s">
        <v>258</v>
      </c>
      <c r="H15" s="338" t="s">
        <v>146</v>
      </c>
    </row>
    <row r="16" spans="1:9" s="105" customFormat="1" x14ac:dyDescent="0.2">
      <c r="A16" s="333">
        <v>4</v>
      </c>
      <c r="B16" s="368" t="s">
        <v>51</v>
      </c>
      <c r="C16" s="337">
        <v>11</v>
      </c>
      <c r="D16" s="337">
        <v>9</v>
      </c>
      <c r="E16" s="337">
        <v>9</v>
      </c>
      <c r="F16" s="336"/>
      <c r="G16" s="365" t="s">
        <v>256</v>
      </c>
      <c r="H16" s="366" t="s">
        <v>261</v>
      </c>
    </row>
    <row r="17" spans="1:9" s="105" customFormat="1" x14ac:dyDescent="0.2"/>
    <row r="18" spans="1:9" s="105" customFormat="1" x14ac:dyDescent="0.2">
      <c r="A18" s="333" t="s">
        <v>184</v>
      </c>
      <c r="B18" s="333"/>
      <c r="C18" s="334">
        <v>1</v>
      </c>
      <c r="D18" s="334">
        <v>2</v>
      </c>
      <c r="E18" s="334">
        <v>3</v>
      </c>
      <c r="F18" s="334">
        <v>4</v>
      </c>
      <c r="G18" s="334" t="s">
        <v>235</v>
      </c>
      <c r="H18" s="334" t="s">
        <v>86</v>
      </c>
    </row>
    <row r="19" spans="1:9" s="105" customFormat="1" x14ac:dyDescent="0.2">
      <c r="A19" s="333">
        <v>1</v>
      </c>
      <c r="B19" s="335" t="s">
        <v>44</v>
      </c>
      <c r="C19" s="336"/>
      <c r="D19" s="337">
        <v>8</v>
      </c>
      <c r="E19" s="334">
        <v>13</v>
      </c>
      <c r="F19" s="334">
        <v>13</v>
      </c>
      <c r="G19" s="365" t="s">
        <v>258</v>
      </c>
      <c r="H19" s="366" t="s">
        <v>146</v>
      </c>
    </row>
    <row r="20" spans="1:9" s="105" customFormat="1" x14ac:dyDescent="0.2">
      <c r="A20" s="333">
        <v>2</v>
      </c>
      <c r="B20" s="368" t="s">
        <v>57</v>
      </c>
      <c r="C20" s="334">
        <v>13</v>
      </c>
      <c r="D20" s="336"/>
      <c r="E20" s="334">
        <v>13</v>
      </c>
      <c r="F20" s="334">
        <v>13</v>
      </c>
      <c r="G20" s="365" t="s">
        <v>257</v>
      </c>
      <c r="H20" s="366" t="s">
        <v>259</v>
      </c>
    </row>
    <row r="21" spans="1:9" s="105" customFormat="1" x14ac:dyDescent="0.2">
      <c r="A21" s="333">
        <v>3</v>
      </c>
      <c r="B21" s="335" t="s">
        <v>68</v>
      </c>
      <c r="C21" s="337">
        <v>7</v>
      </c>
      <c r="D21" s="338">
        <v>12</v>
      </c>
      <c r="E21" s="336"/>
      <c r="F21" s="337">
        <v>2</v>
      </c>
      <c r="G21" s="365" t="s">
        <v>256</v>
      </c>
      <c r="H21" s="338" t="s">
        <v>261</v>
      </c>
    </row>
    <row r="22" spans="1:9" s="105" customFormat="1" x14ac:dyDescent="0.2">
      <c r="A22" s="333">
        <v>4</v>
      </c>
      <c r="B22" s="335" t="s">
        <v>64</v>
      </c>
      <c r="C22" s="337">
        <v>8</v>
      </c>
      <c r="D22" s="337">
        <v>8</v>
      </c>
      <c r="E22" s="334">
        <v>13</v>
      </c>
      <c r="F22" s="336"/>
      <c r="G22" s="365" t="s">
        <v>243</v>
      </c>
      <c r="H22" s="366" t="s">
        <v>260</v>
      </c>
    </row>
    <row r="23" spans="1:9" s="105" customFormat="1" x14ac:dyDescent="0.2"/>
    <row r="24" spans="1:9" s="105" customFormat="1" x14ac:dyDescent="0.2">
      <c r="A24" s="333" t="s">
        <v>185</v>
      </c>
      <c r="B24" s="333"/>
      <c r="C24" s="334">
        <v>1</v>
      </c>
      <c r="D24" s="334">
        <v>2</v>
      </c>
      <c r="E24" s="334">
        <v>3</v>
      </c>
      <c r="F24" s="334">
        <v>4</v>
      </c>
      <c r="G24" s="334" t="s">
        <v>235</v>
      </c>
      <c r="H24" s="334" t="s">
        <v>86</v>
      </c>
    </row>
    <row r="25" spans="1:9" s="105" customFormat="1" x14ac:dyDescent="0.2">
      <c r="A25" s="333">
        <v>1</v>
      </c>
      <c r="B25" s="513" t="s">
        <v>50</v>
      </c>
      <c r="C25" s="336"/>
      <c r="D25" s="510">
        <v>13</v>
      </c>
      <c r="E25" s="334">
        <v>13</v>
      </c>
      <c r="F25" s="511">
        <v>3</v>
      </c>
      <c r="G25" s="512" t="s">
        <v>258</v>
      </c>
      <c r="H25" s="366" t="s">
        <v>146</v>
      </c>
      <c r="I25" s="515" t="s">
        <v>263</v>
      </c>
    </row>
    <row r="26" spans="1:9" s="105" customFormat="1" x14ac:dyDescent="0.2">
      <c r="A26" s="333">
        <v>2</v>
      </c>
      <c r="B26" s="513" t="s">
        <v>43</v>
      </c>
      <c r="C26" s="511">
        <v>5</v>
      </c>
      <c r="D26" s="336"/>
      <c r="E26" s="334">
        <v>13</v>
      </c>
      <c r="F26" s="510">
        <v>13</v>
      </c>
      <c r="G26" s="512" t="s">
        <v>258</v>
      </c>
      <c r="H26" s="366" t="s">
        <v>260</v>
      </c>
      <c r="I26" s="515" t="s">
        <v>263</v>
      </c>
    </row>
    <row r="27" spans="1:9" s="105" customFormat="1" x14ac:dyDescent="0.2">
      <c r="A27" s="333">
        <v>3</v>
      </c>
      <c r="B27" s="335" t="s">
        <v>47</v>
      </c>
      <c r="C27" s="337">
        <v>8</v>
      </c>
      <c r="D27" s="337">
        <v>10</v>
      </c>
      <c r="E27" s="336"/>
      <c r="F27" s="337">
        <v>3</v>
      </c>
      <c r="G27" s="365" t="s">
        <v>256</v>
      </c>
      <c r="H27" s="338" t="s">
        <v>261</v>
      </c>
      <c r="I27" s="516"/>
    </row>
    <row r="28" spans="1:9" s="105" customFormat="1" x14ac:dyDescent="0.2">
      <c r="A28" s="333">
        <v>4</v>
      </c>
      <c r="B28" s="513" t="s">
        <v>62</v>
      </c>
      <c r="C28" s="510">
        <v>13</v>
      </c>
      <c r="D28" s="511">
        <v>7</v>
      </c>
      <c r="E28" s="334">
        <v>13</v>
      </c>
      <c r="F28" s="336"/>
      <c r="G28" s="512" t="s">
        <v>258</v>
      </c>
      <c r="H28" s="366" t="s">
        <v>259</v>
      </c>
      <c r="I28" s="515" t="s">
        <v>262</v>
      </c>
    </row>
    <row r="29" spans="1:9" s="105" customFormat="1" x14ac:dyDescent="0.2"/>
    <row r="30" spans="1:9" s="105" customFormat="1" x14ac:dyDescent="0.2">
      <c r="B30" s="339" t="s">
        <v>236</v>
      </c>
      <c r="C30" s="340" t="s">
        <v>237</v>
      </c>
      <c r="D30" s="340" t="s">
        <v>238</v>
      </c>
    </row>
    <row r="31" spans="1:9" s="105" customFormat="1" x14ac:dyDescent="0.2">
      <c r="B31" s="339" t="s">
        <v>239</v>
      </c>
      <c r="C31" s="340" t="s">
        <v>240</v>
      </c>
      <c r="D31" s="340" t="s">
        <v>241</v>
      </c>
    </row>
    <row r="32" spans="1:9" s="105" customFormat="1" x14ac:dyDescent="0.2">
      <c r="B32" s="339" t="s">
        <v>242</v>
      </c>
      <c r="C32" s="340" t="s">
        <v>243</v>
      </c>
      <c r="D32" s="340" t="s">
        <v>244</v>
      </c>
    </row>
    <row r="33" spans="1:10" s="474" customFormat="1" x14ac:dyDescent="0.2">
      <c r="A33" s="471"/>
      <c r="B33" s="339"/>
      <c r="C33" s="340"/>
      <c r="D33" s="340"/>
      <c r="E33" s="340"/>
      <c r="I33" s="340"/>
      <c r="J33" s="472"/>
    </row>
    <row r="34" spans="1:10" s="474" customFormat="1" x14ac:dyDescent="0.2">
      <c r="A34" s="479" t="s">
        <v>342</v>
      </c>
      <c r="B34" s="339"/>
      <c r="C34" s="340"/>
      <c r="D34" s="340"/>
      <c r="E34" s="340"/>
      <c r="I34" s="340"/>
      <c r="J34" s="472"/>
    </row>
    <row r="35" spans="1:10" s="474" customFormat="1" x14ac:dyDescent="0.2">
      <c r="A35" s="481"/>
      <c r="B35" s="481"/>
      <c r="C35" s="482">
        <v>1</v>
      </c>
      <c r="D35" s="482">
        <v>2</v>
      </c>
      <c r="E35" s="482">
        <v>4</v>
      </c>
      <c r="F35" s="367" t="s">
        <v>235</v>
      </c>
      <c r="G35" s="334" t="s">
        <v>30</v>
      </c>
      <c r="H35" s="334" t="s">
        <v>86</v>
      </c>
      <c r="I35" s="340"/>
      <c r="J35" s="472"/>
    </row>
    <row r="36" spans="1:10" s="474" customFormat="1" x14ac:dyDescent="0.2">
      <c r="A36" s="481">
        <v>1</v>
      </c>
      <c r="B36" s="483" t="s">
        <v>50</v>
      </c>
      <c r="C36" s="484"/>
      <c r="D36" s="482">
        <v>13</v>
      </c>
      <c r="E36" s="485">
        <v>3</v>
      </c>
      <c r="F36" s="469" t="s">
        <v>335</v>
      </c>
      <c r="G36" s="514" t="s">
        <v>263</v>
      </c>
      <c r="H36" s="366" t="s">
        <v>146</v>
      </c>
      <c r="I36" s="340"/>
      <c r="J36" s="472"/>
    </row>
    <row r="37" spans="1:10" s="474" customFormat="1" x14ac:dyDescent="0.2">
      <c r="A37" s="481">
        <v>2</v>
      </c>
      <c r="B37" s="483" t="s">
        <v>43</v>
      </c>
      <c r="C37" s="485">
        <v>5</v>
      </c>
      <c r="D37" s="484"/>
      <c r="E37" s="482">
        <v>13</v>
      </c>
      <c r="F37" s="469" t="s">
        <v>335</v>
      </c>
      <c r="G37" s="514" t="s">
        <v>263</v>
      </c>
      <c r="H37" s="366" t="s">
        <v>260</v>
      </c>
      <c r="I37" s="340"/>
      <c r="J37" s="472"/>
    </row>
    <row r="38" spans="1:10" s="474" customFormat="1" x14ac:dyDescent="0.2">
      <c r="A38" s="481">
        <v>4</v>
      </c>
      <c r="B38" s="483" t="s">
        <v>62</v>
      </c>
      <c r="C38" s="482">
        <v>13</v>
      </c>
      <c r="D38" s="485">
        <v>7</v>
      </c>
      <c r="E38" s="484"/>
      <c r="F38" s="486" t="s">
        <v>335</v>
      </c>
      <c r="G38" s="514" t="s">
        <v>262</v>
      </c>
      <c r="H38" s="366" t="s">
        <v>259</v>
      </c>
    </row>
    <row r="40" spans="1:10" s="31" customFormat="1" x14ac:dyDescent="0.2">
      <c r="A40" s="341" t="s">
        <v>245</v>
      </c>
    </row>
    <row r="41" spans="1:10" s="31" customFormat="1" x14ac:dyDescent="0.2">
      <c r="A41" s="341"/>
    </row>
    <row r="42" spans="1:10" s="31" customFormat="1" x14ac:dyDescent="0.2">
      <c r="A42" s="342" t="s">
        <v>249</v>
      </c>
      <c r="B42" s="31" t="s">
        <v>57</v>
      </c>
      <c r="C42" s="369">
        <v>13</v>
      </c>
    </row>
    <row r="43" spans="1:10" s="31" customFormat="1" x14ac:dyDescent="0.2">
      <c r="A43" s="344"/>
      <c r="B43" s="345"/>
      <c r="C43" s="346" t="s">
        <v>57</v>
      </c>
      <c r="D43" s="347"/>
      <c r="F43" s="343">
        <v>8</v>
      </c>
    </row>
    <row r="44" spans="1:10" s="31" customFormat="1" x14ac:dyDescent="0.2">
      <c r="A44" s="342" t="s">
        <v>251</v>
      </c>
      <c r="B44" s="348" t="s">
        <v>53</v>
      </c>
      <c r="C44" s="349">
        <v>8</v>
      </c>
      <c r="E44" s="350"/>
    </row>
    <row r="45" spans="1:10" s="31" customFormat="1" x14ac:dyDescent="0.2">
      <c r="A45" s="344"/>
      <c r="D45" s="351"/>
      <c r="E45" s="352"/>
      <c r="F45" s="31" t="s">
        <v>45</v>
      </c>
      <c r="I45" s="369">
        <v>13</v>
      </c>
    </row>
    <row r="46" spans="1:10" s="31" customFormat="1" x14ac:dyDescent="0.2">
      <c r="A46" s="342" t="s">
        <v>248</v>
      </c>
      <c r="B46" s="353" t="s">
        <v>62</v>
      </c>
      <c r="C46" s="354">
        <v>3</v>
      </c>
      <c r="E46" s="352"/>
      <c r="F46" s="345"/>
      <c r="G46" s="345"/>
      <c r="H46" s="350"/>
    </row>
    <row r="47" spans="1:10" s="31" customFormat="1" x14ac:dyDescent="0.2">
      <c r="A47" s="344"/>
      <c r="B47" s="345"/>
      <c r="C47" s="355" t="s">
        <v>45</v>
      </c>
      <c r="E47" s="356"/>
      <c r="F47" s="371">
        <v>13</v>
      </c>
      <c r="G47" s="351"/>
      <c r="H47" s="352"/>
    </row>
    <row r="48" spans="1:10" s="31" customFormat="1" x14ac:dyDescent="0.2">
      <c r="A48" s="342" t="s">
        <v>252</v>
      </c>
      <c r="B48" s="348" t="s">
        <v>45</v>
      </c>
      <c r="C48" s="370">
        <v>13</v>
      </c>
      <c r="D48" s="345"/>
      <c r="F48" s="351"/>
      <c r="G48" s="351"/>
      <c r="H48" s="352"/>
    </row>
    <row r="49" spans="1:11" s="31" customFormat="1" ht="13.5" thickBot="1" x14ac:dyDescent="0.25">
      <c r="A49" s="344"/>
      <c r="F49" s="351"/>
      <c r="G49" s="351"/>
      <c r="H49" s="352"/>
      <c r="J49" s="31" t="s">
        <v>45</v>
      </c>
    </row>
    <row r="50" spans="1:11" s="31" customFormat="1" x14ac:dyDescent="0.2">
      <c r="A50" s="342" t="s">
        <v>246</v>
      </c>
      <c r="B50" s="31" t="s">
        <v>48</v>
      </c>
      <c r="C50" s="369">
        <v>13</v>
      </c>
      <c r="F50" s="351"/>
      <c r="G50" s="351"/>
      <c r="H50" s="352"/>
      <c r="I50" s="358"/>
      <c r="J50" s="359" t="s">
        <v>148</v>
      </c>
      <c r="K50" s="360"/>
    </row>
    <row r="51" spans="1:11" s="31" customFormat="1" x14ac:dyDescent="0.2">
      <c r="A51" s="344"/>
      <c r="B51" s="345"/>
      <c r="C51" s="346" t="s">
        <v>48</v>
      </c>
      <c r="D51" s="347"/>
      <c r="F51" s="371">
        <v>13</v>
      </c>
      <c r="G51" s="351"/>
      <c r="H51" s="352"/>
    </row>
    <row r="52" spans="1:11" s="31" customFormat="1" ht="13.5" thickBot="1" x14ac:dyDescent="0.25">
      <c r="A52" s="342" t="s">
        <v>253</v>
      </c>
      <c r="B52" s="347" t="s">
        <v>50</v>
      </c>
      <c r="C52" s="349">
        <v>5</v>
      </c>
      <c r="E52" s="350"/>
      <c r="F52" s="351"/>
      <c r="G52" s="351"/>
      <c r="H52" s="352"/>
      <c r="J52" s="361" t="s">
        <v>48</v>
      </c>
      <c r="K52" s="361"/>
    </row>
    <row r="53" spans="1:11" s="31" customFormat="1" x14ac:dyDescent="0.2">
      <c r="A53" s="344"/>
      <c r="D53" s="351"/>
      <c r="E53" s="352"/>
      <c r="F53" s="347" t="s">
        <v>48</v>
      </c>
      <c r="G53" s="347"/>
      <c r="H53" s="356"/>
      <c r="I53" s="343">
        <v>10</v>
      </c>
      <c r="J53" s="359" t="s">
        <v>149</v>
      </c>
    </row>
    <row r="54" spans="1:11" s="31" customFormat="1" x14ac:dyDescent="0.2">
      <c r="A54" s="342" t="s">
        <v>247</v>
      </c>
      <c r="B54" s="31" t="s">
        <v>81</v>
      </c>
      <c r="C54" s="371">
        <v>13</v>
      </c>
      <c r="E54" s="352"/>
    </row>
    <row r="55" spans="1:11" s="31" customFormat="1" x14ac:dyDescent="0.2">
      <c r="A55" s="344"/>
      <c r="B55" s="345"/>
      <c r="C55" s="355" t="s">
        <v>81</v>
      </c>
      <c r="E55" s="356"/>
      <c r="F55" s="343">
        <v>5</v>
      </c>
    </row>
    <row r="56" spans="1:11" s="31" customFormat="1" x14ac:dyDescent="0.2">
      <c r="A56" s="342" t="s">
        <v>254</v>
      </c>
      <c r="B56" s="347" t="s">
        <v>44</v>
      </c>
      <c r="C56" s="357">
        <v>1</v>
      </c>
      <c r="D56" s="345"/>
    </row>
    <row r="57" spans="1:11" s="31" customFormat="1" x14ac:dyDescent="0.2">
      <c r="F57" s="31" t="s">
        <v>57</v>
      </c>
      <c r="I57" s="371">
        <v>13</v>
      </c>
      <c r="J57" s="351"/>
      <c r="K57" s="351"/>
    </row>
    <row r="58" spans="1:11" s="31" customFormat="1" ht="13.5" thickBot="1" x14ac:dyDescent="0.25">
      <c r="F58" s="345"/>
      <c r="G58" s="345"/>
      <c r="H58" s="350"/>
      <c r="I58" s="361"/>
      <c r="J58" s="361" t="s">
        <v>57</v>
      </c>
      <c r="K58" s="361"/>
    </row>
    <row r="59" spans="1:11" s="31" customFormat="1" x14ac:dyDescent="0.2">
      <c r="F59" s="347" t="s">
        <v>81</v>
      </c>
      <c r="G59" s="347"/>
      <c r="H59" s="356"/>
      <c r="I59" s="343">
        <v>5</v>
      </c>
      <c r="J59" s="362" t="s">
        <v>150</v>
      </c>
      <c r="K59" s="351"/>
    </row>
    <row r="60" spans="1:11" s="31" customFormat="1" x14ac:dyDescent="0.2">
      <c r="J60" s="351"/>
      <c r="K60" s="351"/>
    </row>
    <row r="61" spans="1:11" s="31" customFormat="1" ht="13.5" thickBot="1" x14ac:dyDescent="0.25">
      <c r="G61" s="351"/>
      <c r="H61" s="351"/>
      <c r="J61" s="361" t="s">
        <v>81</v>
      </c>
      <c r="K61" s="361"/>
    </row>
    <row r="62" spans="1:11" s="31" customFormat="1" x14ac:dyDescent="0.2">
      <c r="C62" s="31" t="s">
        <v>53</v>
      </c>
      <c r="F62" s="343">
        <v>10</v>
      </c>
      <c r="J62" s="363" t="s">
        <v>151</v>
      </c>
    </row>
    <row r="63" spans="1:11" s="31" customFormat="1" x14ac:dyDescent="0.2">
      <c r="C63" s="345"/>
      <c r="D63" s="345"/>
      <c r="E63" s="350"/>
      <c r="F63" s="346" t="s">
        <v>62</v>
      </c>
      <c r="G63" s="347"/>
      <c r="H63" s="347"/>
      <c r="I63" s="369">
        <v>13</v>
      </c>
    </row>
    <row r="64" spans="1:11" s="31" customFormat="1" x14ac:dyDescent="0.2">
      <c r="C64" s="347" t="s">
        <v>62</v>
      </c>
      <c r="D64" s="347"/>
      <c r="E64" s="356"/>
      <c r="F64" s="372">
        <v>13</v>
      </c>
      <c r="H64" s="352"/>
    </row>
    <row r="65" spans="1:11" s="31" customFormat="1" ht="13.5" thickBot="1" x14ac:dyDescent="0.25">
      <c r="F65" s="351"/>
      <c r="H65" s="352"/>
      <c r="J65" s="31" t="s">
        <v>62</v>
      </c>
    </row>
    <row r="66" spans="1:11" s="31" customFormat="1" x14ac:dyDescent="0.2">
      <c r="C66" s="31" t="s">
        <v>50</v>
      </c>
      <c r="F66" s="371">
        <v>13</v>
      </c>
      <c r="H66" s="352"/>
      <c r="I66" s="358"/>
      <c r="J66" s="359" t="s">
        <v>152</v>
      </c>
      <c r="K66" s="360"/>
    </row>
    <row r="67" spans="1:11" s="31" customFormat="1" x14ac:dyDescent="0.2">
      <c r="C67" s="345"/>
      <c r="D67" s="345"/>
      <c r="E67" s="350"/>
      <c r="F67" s="355" t="s">
        <v>50</v>
      </c>
      <c r="H67" s="356"/>
      <c r="I67" s="354">
        <v>9</v>
      </c>
    </row>
    <row r="68" spans="1:11" s="31" customFormat="1" ht="13.5" thickBot="1" x14ac:dyDescent="0.25">
      <c r="C68" s="347" t="s">
        <v>44</v>
      </c>
      <c r="D68" s="347"/>
      <c r="E68" s="356"/>
      <c r="F68" s="357">
        <v>9</v>
      </c>
      <c r="G68" s="345"/>
      <c r="I68" s="351"/>
      <c r="J68" s="351" t="s">
        <v>50</v>
      </c>
      <c r="K68" s="361"/>
    </row>
    <row r="69" spans="1:11" s="31" customFormat="1" x14ac:dyDescent="0.2">
      <c r="I69" s="351"/>
      <c r="J69" s="359" t="s">
        <v>153</v>
      </c>
      <c r="K69" s="351"/>
    </row>
    <row r="70" spans="1:11" s="31" customFormat="1" x14ac:dyDescent="0.2">
      <c r="F70" s="31" t="s">
        <v>53</v>
      </c>
      <c r="I70" s="371">
        <v>13</v>
      </c>
      <c r="J70" s="351"/>
      <c r="K70" s="351"/>
    </row>
    <row r="71" spans="1:11" s="31" customFormat="1" ht="13.5" thickBot="1" x14ac:dyDescent="0.25">
      <c r="F71" s="345"/>
      <c r="G71" s="345"/>
      <c r="H71" s="350"/>
      <c r="I71" s="361"/>
      <c r="J71" s="361" t="s">
        <v>53</v>
      </c>
      <c r="K71" s="361"/>
    </row>
    <row r="72" spans="1:11" s="31" customFormat="1" x14ac:dyDescent="0.2">
      <c r="F72" s="347" t="s">
        <v>44</v>
      </c>
      <c r="G72" s="347"/>
      <c r="H72" s="356"/>
      <c r="I72" s="343">
        <v>6</v>
      </c>
      <c r="J72" s="362" t="s">
        <v>154</v>
      </c>
      <c r="K72" s="351"/>
    </row>
    <row r="73" spans="1:11" s="31" customFormat="1" x14ac:dyDescent="0.2">
      <c r="J73" s="351"/>
      <c r="K73" s="351"/>
    </row>
    <row r="74" spans="1:11" s="31" customFormat="1" ht="13.5" thickBot="1" x14ac:dyDescent="0.25">
      <c r="G74" s="351"/>
      <c r="H74" s="351"/>
      <c r="J74" s="361" t="s">
        <v>44</v>
      </c>
      <c r="K74" s="361"/>
    </row>
    <row r="75" spans="1:11" s="31" customFormat="1" x14ac:dyDescent="0.2">
      <c r="G75" s="351"/>
      <c r="H75" s="351"/>
      <c r="J75" s="363" t="s">
        <v>155</v>
      </c>
    </row>
    <row r="76" spans="1:11" s="31" customFormat="1" x14ac:dyDescent="0.2"/>
    <row r="77" spans="1:11" s="31" customFormat="1" x14ac:dyDescent="0.2">
      <c r="A77" s="341" t="s">
        <v>250</v>
      </c>
    </row>
    <row r="78" spans="1:11" s="31" customFormat="1" x14ac:dyDescent="0.2">
      <c r="A78" s="341"/>
    </row>
    <row r="79" spans="1:11" s="31" customFormat="1" x14ac:dyDescent="0.2">
      <c r="A79" s="342" t="s">
        <v>267</v>
      </c>
      <c r="B79" s="31" t="s">
        <v>64</v>
      </c>
      <c r="C79" s="343">
        <v>8</v>
      </c>
    </row>
    <row r="80" spans="1:11" s="31" customFormat="1" x14ac:dyDescent="0.2">
      <c r="A80" s="344"/>
      <c r="B80" s="345"/>
      <c r="C80" s="346" t="s">
        <v>51</v>
      </c>
      <c r="D80" s="347"/>
      <c r="F80" s="343">
        <v>10</v>
      </c>
    </row>
    <row r="81" spans="1:11" s="31" customFormat="1" x14ac:dyDescent="0.2">
      <c r="A81" s="342" t="s">
        <v>265</v>
      </c>
      <c r="B81" s="348" t="s">
        <v>51</v>
      </c>
      <c r="C81" s="372">
        <v>13</v>
      </c>
      <c r="E81" s="350"/>
    </row>
    <row r="82" spans="1:11" s="31" customFormat="1" x14ac:dyDescent="0.2">
      <c r="A82" s="344"/>
      <c r="D82" s="351"/>
      <c r="E82" s="352"/>
      <c r="F82" s="31" t="s">
        <v>43</v>
      </c>
      <c r="I82" s="369">
        <v>13</v>
      </c>
    </row>
    <row r="83" spans="1:11" s="31" customFormat="1" x14ac:dyDescent="0.2">
      <c r="A83" s="342" t="s">
        <v>268</v>
      </c>
      <c r="B83" s="353" t="s">
        <v>43</v>
      </c>
      <c r="C83" s="371">
        <v>13</v>
      </c>
      <c r="E83" s="352"/>
      <c r="F83" s="345"/>
      <c r="G83" s="345"/>
      <c r="H83" s="350"/>
    </row>
    <row r="84" spans="1:11" s="31" customFormat="1" x14ac:dyDescent="0.2">
      <c r="A84" s="344"/>
      <c r="B84" s="345"/>
      <c r="C84" s="355" t="s">
        <v>43</v>
      </c>
      <c r="E84" s="356"/>
      <c r="F84" s="371">
        <v>13</v>
      </c>
      <c r="G84" s="351"/>
      <c r="H84" s="352"/>
    </row>
    <row r="85" spans="1:11" s="31" customFormat="1" x14ac:dyDescent="0.2">
      <c r="A85" s="342"/>
      <c r="B85" s="348" t="s">
        <v>67</v>
      </c>
      <c r="C85" s="357">
        <v>1</v>
      </c>
      <c r="D85" s="345"/>
      <c r="F85" s="351"/>
      <c r="G85" s="351"/>
      <c r="H85" s="352"/>
    </row>
    <row r="86" spans="1:11" s="31" customFormat="1" ht="13.5" thickBot="1" x14ac:dyDescent="0.25">
      <c r="A86" s="344"/>
      <c r="F86" s="351"/>
      <c r="G86" s="351"/>
      <c r="H86" s="352"/>
      <c r="J86" s="31" t="s">
        <v>43</v>
      </c>
    </row>
    <row r="87" spans="1:11" s="31" customFormat="1" x14ac:dyDescent="0.2">
      <c r="A87" s="342" t="s">
        <v>264</v>
      </c>
      <c r="B87" s="31" t="s">
        <v>56</v>
      </c>
      <c r="C87" s="369">
        <v>13</v>
      </c>
      <c r="F87" s="351"/>
      <c r="G87" s="351"/>
      <c r="H87" s="352"/>
      <c r="I87" s="358"/>
      <c r="J87" s="359" t="s">
        <v>156</v>
      </c>
      <c r="K87" s="360"/>
    </row>
    <row r="88" spans="1:11" s="31" customFormat="1" x14ac:dyDescent="0.2">
      <c r="A88" s="344"/>
      <c r="B88" s="345"/>
      <c r="C88" s="346" t="s">
        <v>56</v>
      </c>
      <c r="D88" s="347"/>
      <c r="F88" s="354">
        <v>12</v>
      </c>
      <c r="G88" s="351"/>
      <c r="H88" s="352"/>
    </row>
    <row r="89" spans="1:11" s="31" customFormat="1" ht="13.5" thickBot="1" x14ac:dyDescent="0.25">
      <c r="A89" s="342" t="s">
        <v>269</v>
      </c>
      <c r="B89" s="347" t="s">
        <v>47</v>
      </c>
      <c r="C89" s="349">
        <v>10</v>
      </c>
      <c r="E89" s="350"/>
      <c r="F89" s="351"/>
      <c r="G89" s="351"/>
      <c r="H89" s="352"/>
      <c r="J89" s="361" t="s">
        <v>46</v>
      </c>
      <c r="K89" s="361"/>
    </row>
    <row r="90" spans="1:11" s="31" customFormat="1" x14ac:dyDescent="0.2">
      <c r="A90" s="344"/>
      <c r="D90" s="351"/>
      <c r="E90" s="352"/>
      <c r="F90" s="347" t="s">
        <v>46</v>
      </c>
      <c r="G90" s="347"/>
      <c r="H90" s="356"/>
      <c r="I90" s="343">
        <v>6</v>
      </c>
      <c r="J90" s="359" t="s">
        <v>157</v>
      </c>
    </row>
    <row r="91" spans="1:11" s="31" customFormat="1" x14ac:dyDescent="0.2">
      <c r="A91" s="342" t="s">
        <v>255</v>
      </c>
      <c r="B91" s="31" t="s">
        <v>46</v>
      </c>
      <c r="C91" s="371">
        <v>13</v>
      </c>
      <c r="E91" s="352"/>
    </row>
    <row r="92" spans="1:11" s="31" customFormat="1" x14ac:dyDescent="0.2">
      <c r="A92" s="344"/>
      <c r="B92" s="345"/>
      <c r="C92" s="355" t="s">
        <v>46</v>
      </c>
      <c r="E92" s="356"/>
      <c r="F92" s="369">
        <v>13</v>
      </c>
    </row>
    <row r="93" spans="1:11" s="31" customFormat="1" x14ac:dyDescent="0.2">
      <c r="A93" s="342" t="s">
        <v>266</v>
      </c>
      <c r="B93" s="347" t="s">
        <v>68</v>
      </c>
      <c r="C93" s="357" t="s">
        <v>147</v>
      </c>
      <c r="D93" s="345"/>
    </row>
    <row r="94" spans="1:11" s="31" customFormat="1" x14ac:dyDescent="0.2">
      <c r="F94" s="31" t="s">
        <v>51</v>
      </c>
      <c r="I94" s="371">
        <v>13</v>
      </c>
      <c r="J94" s="351"/>
      <c r="K94" s="351"/>
    </row>
    <row r="95" spans="1:11" s="31" customFormat="1" ht="13.5" thickBot="1" x14ac:dyDescent="0.25">
      <c r="F95" s="345"/>
      <c r="G95" s="345"/>
      <c r="H95" s="350"/>
      <c r="I95" s="361"/>
      <c r="J95" s="361" t="s">
        <v>51</v>
      </c>
      <c r="K95" s="361"/>
    </row>
    <row r="96" spans="1:11" s="31" customFormat="1" x14ac:dyDescent="0.2">
      <c r="F96" s="347" t="s">
        <v>56</v>
      </c>
      <c r="G96" s="347"/>
      <c r="H96" s="356"/>
      <c r="I96" s="343">
        <v>4</v>
      </c>
      <c r="J96" s="362" t="s">
        <v>158</v>
      </c>
      <c r="K96" s="351"/>
    </row>
    <row r="97" spans="3:11" s="31" customFormat="1" x14ac:dyDescent="0.2">
      <c r="J97" s="351"/>
      <c r="K97" s="351"/>
    </row>
    <row r="98" spans="3:11" s="31" customFormat="1" ht="13.5" thickBot="1" x14ac:dyDescent="0.25">
      <c r="G98" s="351"/>
      <c r="H98" s="351"/>
      <c r="J98" s="361" t="s">
        <v>56</v>
      </c>
      <c r="K98" s="361"/>
    </row>
    <row r="99" spans="3:11" s="31" customFormat="1" x14ac:dyDescent="0.2">
      <c r="C99" s="31" t="s">
        <v>64</v>
      </c>
      <c r="F99" s="369">
        <v>13</v>
      </c>
      <c r="J99" s="363" t="s">
        <v>159</v>
      </c>
    </row>
    <row r="100" spans="3:11" s="31" customFormat="1" x14ac:dyDescent="0.2">
      <c r="C100" s="345"/>
      <c r="D100" s="345"/>
      <c r="E100" s="350"/>
      <c r="F100" s="346" t="s">
        <v>64</v>
      </c>
      <c r="G100" s="347"/>
      <c r="H100" s="347"/>
      <c r="I100" s="369">
        <v>13</v>
      </c>
    </row>
    <row r="101" spans="3:11" s="31" customFormat="1" x14ac:dyDescent="0.2">
      <c r="C101" s="347" t="s">
        <v>67</v>
      </c>
      <c r="D101" s="347"/>
      <c r="E101" s="356"/>
      <c r="F101" s="349">
        <v>4</v>
      </c>
      <c r="H101" s="352"/>
    </row>
    <row r="102" spans="3:11" s="31" customFormat="1" ht="13.5" thickBot="1" x14ac:dyDescent="0.25">
      <c r="F102" s="351"/>
      <c r="H102" s="352"/>
      <c r="J102" s="31" t="s">
        <v>64</v>
      </c>
    </row>
    <row r="103" spans="3:11" s="31" customFormat="1" x14ac:dyDescent="0.2">
      <c r="C103" s="31" t="s">
        <v>47</v>
      </c>
      <c r="F103" s="371">
        <v>13</v>
      </c>
      <c r="H103" s="352"/>
      <c r="I103" s="358"/>
      <c r="J103" s="359" t="s">
        <v>160</v>
      </c>
      <c r="K103" s="360"/>
    </row>
    <row r="104" spans="3:11" s="31" customFormat="1" x14ac:dyDescent="0.2">
      <c r="C104" s="345"/>
      <c r="D104" s="345"/>
      <c r="E104" s="350"/>
      <c r="F104" s="355" t="s">
        <v>47</v>
      </c>
      <c r="H104" s="356"/>
      <c r="I104" s="354">
        <v>12</v>
      </c>
    </row>
    <row r="105" spans="3:11" s="31" customFormat="1" ht="13.5" thickBot="1" x14ac:dyDescent="0.25">
      <c r="C105" s="347" t="s">
        <v>68</v>
      </c>
      <c r="D105" s="347"/>
      <c r="E105" s="356"/>
      <c r="F105" s="357" t="s">
        <v>147</v>
      </c>
      <c r="G105" s="345"/>
      <c r="I105" s="351"/>
      <c r="J105" s="351" t="s">
        <v>47</v>
      </c>
      <c r="K105" s="361"/>
    </row>
    <row r="106" spans="3:11" s="31" customFormat="1" x14ac:dyDescent="0.2">
      <c r="I106" s="351"/>
      <c r="J106" s="359" t="s">
        <v>161</v>
      </c>
      <c r="K106" s="351"/>
    </row>
    <row r="107" spans="3:11" s="31" customFormat="1" x14ac:dyDescent="0.2">
      <c r="F107" s="31" t="s">
        <v>67</v>
      </c>
      <c r="I107" s="371">
        <v>13</v>
      </c>
      <c r="J107" s="351"/>
      <c r="K107" s="351"/>
    </row>
    <row r="108" spans="3:11" s="31" customFormat="1" ht="13.5" thickBot="1" x14ac:dyDescent="0.25">
      <c r="F108" s="345"/>
      <c r="G108" s="345"/>
      <c r="H108" s="350"/>
      <c r="I108" s="361"/>
      <c r="J108" s="361" t="s">
        <v>67</v>
      </c>
      <c r="K108" s="361"/>
    </row>
    <row r="109" spans="3:11" s="31" customFormat="1" x14ac:dyDescent="0.2">
      <c r="F109" s="347" t="s">
        <v>68</v>
      </c>
      <c r="G109" s="347"/>
      <c r="H109" s="356"/>
      <c r="I109" s="343" t="s">
        <v>147</v>
      </c>
      <c r="J109" s="362" t="s">
        <v>162</v>
      </c>
      <c r="K109" s="351"/>
    </row>
    <row r="110" spans="3:11" s="31" customFormat="1" x14ac:dyDescent="0.2">
      <c r="J110" s="351"/>
      <c r="K110" s="351"/>
    </row>
    <row r="111" spans="3:11" s="31" customFormat="1" ht="13.5" thickBot="1" x14ac:dyDescent="0.25">
      <c r="G111" s="351"/>
      <c r="H111" s="351"/>
      <c r="J111" s="361" t="s">
        <v>68</v>
      </c>
      <c r="K111" s="361"/>
    </row>
    <row r="112" spans="3:11" s="31" customFormat="1" x14ac:dyDescent="0.2">
      <c r="G112" s="351"/>
      <c r="H112" s="351"/>
      <c r="J112" s="363" t="s">
        <v>163</v>
      </c>
    </row>
    <row r="114" spans="1:2" x14ac:dyDescent="0.2">
      <c r="A114" s="30">
        <v>1</v>
      </c>
      <c r="B114" s="32" t="s">
        <v>45</v>
      </c>
    </row>
    <row r="115" spans="1:2" x14ac:dyDescent="0.2">
      <c r="A115" s="30">
        <v>2</v>
      </c>
      <c r="B115" s="202" t="s">
        <v>48</v>
      </c>
    </row>
    <row r="116" spans="1:2" x14ac:dyDescent="0.2">
      <c r="A116" s="30">
        <v>3</v>
      </c>
      <c r="B116" s="203" t="s">
        <v>57</v>
      </c>
    </row>
    <row r="117" spans="1:2" x14ac:dyDescent="0.2">
      <c r="A117" s="30">
        <v>4</v>
      </c>
      <c r="B117" s="201" t="s">
        <v>81</v>
      </c>
    </row>
    <row r="118" spans="1:2" x14ac:dyDescent="0.2">
      <c r="A118" s="30">
        <v>5</v>
      </c>
      <c r="B118" s="201" t="s">
        <v>62</v>
      </c>
    </row>
    <row r="119" spans="1:2" x14ac:dyDescent="0.2">
      <c r="A119" s="30">
        <v>6</v>
      </c>
      <c r="B119" s="201" t="s">
        <v>50</v>
      </c>
    </row>
    <row r="120" spans="1:2" x14ac:dyDescent="0.2">
      <c r="A120" s="30">
        <v>7</v>
      </c>
      <c r="B120" s="201" t="s">
        <v>53</v>
      </c>
    </row>
    <row r="121" spans="1:2" x14ac:dyDescent="0.2">
      <c r="A121" s="30">
        <v>8</v>
      </c>
      <c r="B121" s="201" t="s">
        <v>44</v>
      </c>
    </row>
    <row r="122" spans="1:2" x14ac:dyDescent="0.2">
      <c r="A122" s="30">
        <v>9</v>
      </c>
      <c r="B122" s="201" t="s">
        <v>43</v>
      </c>
    </row>
    <row r="123" spans="1:2" x14ac:dyDescent="0.2">
      <c r="A123" s="30">
        <v>10</v>
      </c>
      <c r="B123" s="201" t="s">
        <v>46</v>
      </c>
    </row>
    <row r="124" spans="1:2" x14ac:dyDescent="0.2">
      <c r="A124" s="30">
        <v>11</v>
      </c>
      <c r="B124" s="201" t="s">
        <v>51</v>
      </c>
    </row>
    <row r="125" spans="1:2" x14ac:dyDescent="0.2">
      <c r="A125" s="30">
        <v>12</v>
      </c>
      <c r="B125" s="201" t="s">
        <v>56</v>
      </c>
    </row>
    <row r="126" spans="1:2" x14ac:dyDescent="0.2">
      <c r="A126" s="30">
        <v>13</v>
      </c>
      <c r="B126" s="201" t="s">
        <v>64</v>
      </c>
    </row>
    <row r="127" spans="1:2" x14ac:dyDescent="0.2">
      <c r="A127" s="30">
        <v>14</v>
      </c>
      <c r="B127" s="201" t="s">
        <v>47</v>
      </c>
    </row>
    <row r="128" spans="1:2" x14ac:dyDescent="0.2">
      <c r="A128" s="30">
        <v>15</v>
      </c>
      <c r="B128" s="201" t="s">
        <v>67</v>
      </c>
    </row>
    <row r="129" spans="1:2" x14ac:dyDescent="0.2">
      <c r="A129" s="30">
        <v>16</v>
      </c>
      <c r="B129" s="201" t="s">
        <v>68</v>
      </c>
    </row>
  </sheetData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3" manualBreakCount="3">
    <brk id="38" max="16383" man="1"/>
    <brk id="75" max="16383" man="1"/>
    <brk id="112" max="16383" man="1"/>
  </rowBreaks>
  <ignoredErrors>
    <ignoredError sqref="I25:I28 G36:G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63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G1" sqref="G1"/>
    </sheetView>
  </sheetViews>
  <sheetFormatPr defaultColWidth="9.42578125" defaultRowHeight="12.75" x14ac:dyDescent="0.2"/>
  <cols>
    <col min="1" max="1" width="3.28515625" style="9" customWidth="1"/>
    <col min="2" max="2" width="54.140625" style="9" customWidth="1"/>
    <col min="3" max="3" width="7.28515625" style="9" customWidth="1"/>
    <col min="4" max="4" width="7.42578125" style="9" bestFit="1" customWidth="1"/>
    <col min="5" max="5" width="9.140625" style="9" bestFit="1" customWidth="1"/>
    <col min="6" max="6" width="6.7109375" style="9" bestFit="1" customWidth="1"/>
    <col min="7" max="7" width="5.140625" style="9" bestFit="1" customWidth="1"/>
    <col min="8" max="8" width="6.7109375" style="9" customWidth="1"/>
    <col min="9" max="11" width="9.140625" style="9" customWidth="1"/>
    <col min="12" max="13" width="1.7109375" style="9" customWidth="1"/>
    <col min="14" max="185" width="9.140625" style="9" customWidth="1"/>
    <col min="186" max="16384" width="9.42578125" style="9"/>
  </cols>
  <sheetData>
    <row r="1" spans="1:7" x14ac:dyDescent="0.2">
      <c r="A1" s="45" t="str">
        <f>UPPER((Kalend!E7)&amp;" - "&amp;(Kalend!C7)&amp;" - "&amp;(Kalend!D7))</f>
        <v>1 - K-JÄRVE 15. KV 1. ETAPP - TRIO</v>
      </c>
      <c r="C1" s="297" t="str">
        <f>HYPERLINK("#Kalend!I1","Kalender")</f>
        <v>Kalender</v>
      </c>
      <c r="D1" s="478"/>
      <c r="E1" s="297" t="str">
        <f>HYPERLINK("#Reit!K1","Reiting")</f>
        <v>Reiting</v>
      </c>
      <c r="F1" s="478"/>
      <c r="G1" s="478"/>
    </row>
    <row r="2" spans="1:7" x14ac:dyDescent="0.2">
      <c r="A2" s="9" t="str">
        <f>"Toimumisaeg: "&amp;(Kalend!A7)&amp;" kell "&amp;(Kalend!B7)</f>
        <v>Toimumisaeg: N, 05.05.2016 kell 18:00</v>
      </c>
    </row>
    <row r="3" spans="1:7" x14ac:dyDescent="0.2">
      <c r="A3" s="9" t="str">
        <f>"Toimumiskoht: "&amp;(Kalend!F7)</f>
        <v>Toimumiskoht: K-Järve spordihoone</v>
      </c>
    </row>
    <row r="4" spans="1:7" x14ac:dyDescent="0.2">
      <c r="A4" s="9" t="str">
        <f>"Korraldaja: "&amp;(Kalend!G7)</f>
        <v>Korraldaja: K-Järve SHK, Ivar Viljaste</v>
      </c>
    </row>
    <row r="6" spans="1:7" x14ac:dyDescent="0.2">
      <c r="A6" s="30" t="s">
        <v>271</v>
      </c>
      <c r="B6" s="30"/>
      <c r="C6" s="381" t="s">
        <v>272</v>
      </c>
      <c r="D6" s="381" t="s">
        <v>273</v>
      </c>
      <c r="E6" s="381" t="s">
        <v>274</v>
      </c>
      <c r="F6" s="381" t="s">
        <v>275</v>
      </c>
      <c r="G6" s="381" t="s">
        <v>86</v>
      </c>
    </row>
    <row r="7" spans="1:7" x14ac:dyDescent="0.2">
      <c r="A7" s="30">
        <v>1</v>
      </c>
      <c r="B7" s="450" t="s">
        <v>281</v>
      </c>
      <c r="C7" s="382">
        <v>9</v>
      </c>
      <c r="D7" s="382"/>
      <c r="E7" s="382">
        <v>8</v>
      </c>
      <c r="F7" s="382"/>
      <c r="G7" s="408" t="s">
        <v>261</v>
      </c>
    </row>
    <row r="8" spans="1:7" x14ac:dyDescent="0.2">
      <c r="A8" s="30">
        <v>2</v>
      </c>
      <c r="B8" s="450" t="s">
        <v>282</v>
      </c>
      <c r="C8" s="383">
        <v>13</v>
      </c>
      <c r="D8" s="383">
        <v>13</v>
      </c>
      <c r="E8" s="382"/>
      <c r="F8" s="382"/>
      <c r="G8" s="408" t="s">
        <v>259</v>
      </c>
    </row>
    <row r="9" spans="1:7" x14ac:dyDescent="0.2">
      <c r="A9" s="30">
        <v>3</v>
      </c>
      <c r="B9" s="453" t="s">
        <v>283</v>
      </c>
      <c r="C9" s="382">
        <v>5</v>
      </c>
      <c r="D9" s="382"/>
      <c r="E9" s="383">
        <v>13</v>
      </c>
      <c r="F9" s="382">
        <v>10</v>
      </c>
      <c r="G9" s="408" t="s">
        <v>260</v>
      </c>
    </row>
    <row r="10" spans="1:7" x14ac:dyDescent="0.2">
      <c r="A10" s="30">
        <v>4</v>
      </c>
      <c r="B10" s="476" t="s">
        <v>284</v>
      </c>
      <c r="C10" s="383">
        <v>13</v>
      </c>
      <c r="D10" s="382">
        <v>4</v>
      </c>
      <c r="E10" s="382"/>
      <c r="F10" s="383">
        <v>13</v>
      </c>
      <c r="G10" s="408" t="s">
        <v>146</v>
      </c>
    </row>
    <row r="11" spans="1:7" x14ac:dyDescent="0.2">
      <c r="A11" s="23"/>
      <c r="B11" s="8"/>
      <c r="C11" s="384"/>
      <c r="D11" s="384"/>
      <c r="E11" s="384"/>
      <c r="F11" s="275"/>
      <c r="G11" s="385"/>
    </row>
    <row r="12" spans="1:7" x14ac:dyDescent="0.2">
      <c r="A12" s="30" t="s">
        <v>276</v>
      </c>
      <c r="B12" s="30"/>
      <c r="C12" s="381" t="s">
        <v>272</v>
      </c>
      <c r="D12" s="381" t="s">
        <v>273</v>
      </c>
      <c r="E12" s="381" t="s">
        <v>274</v>
      </c>
      <c r="F12" s="381" t="s">
        <v>275</v>
      </c>
      <c r="G12" s="381" t="s">
        <v>86</v>
      </c>
    </row>
    <row r="13" spans="1:7" x14ac:dyDescent="0.2">
      <c r="A13" s="30">
        <v>1</v>
      </c>
      <c r="B13" s="450" t="s">
        <v>285</v>
      </c>
      <c r="C13" s="382">
        <v>8</v>
      </c>
      <c r="D13" s="382"/>
      <c r="E13" s="382">
        <v>10</v>
      </c>
      <c r="F13" s="382"/>
      <c r="G13" s="408" t="s">
        <v>261</v>
      </c>
    </row>
    <row r="14" spans="1:7" x14ac:dyDescent="0.2">
      <c r="A14" s="30">
        <v>2</v>
      </c>
      <c r="B14" s="407" t="s">
        <v>288</v>
      </c>
      <c r="C14" s="383">
        <v>13</v>
      </c>
      <c r="D14" s="382">
        <v>11</v>
      </c>
      <c r="E14" s="382"/>
      <c r="F14" s="382">
        <v>0</v>
      </c>
      <c r="G14" s="408" t="s">
        <v>260</v>
      </c>
    </row>
    <row r="15" spans="1:7" x14ac:dyDescent="0.2">
      <c r="A15" s="30">
        <v>3</v>
      </c>
      <c r="B15" s="476" t="s">
        <v>277</v>
      </c>
      <c r="C15" s="382">
        <v>12</v>
      </c>
      <c r="D15" s="382"/>
      <c r="E15" s="383">
        <v>13</v>
      </c>
      <c r="F15" s="383">
        <v>13</v>
      </c>
      <c r="G15" s="408" t="s">
        <v>146</v>
      </c>
    </row>
    <row r="16" spans="1:7" x14ac:dyDescent="0.2">
      <c r="A16" s="30">
        <v>4</v>
      </c>
      <c r="B16" s="407" t="s">
        <v>294</v>
      </c>
      <c r="C16" s="383">
        <v>13</v>
      </c>
      <c r="D16" s="383">
        <v>13</v>
      </c>
      <c r="E16" s="382"/>
      <c r="F16" s="382"/>
      <c r="G16" s="408" t="s">
        <v>259</v>
      </c>
    </row>
    <row r="17" spans="1:8" x14ac:dyDescent="0.2">
      <c r="A17" s="23"/>
      <c r="B17" s="8"/>
      <c r="C17" s="384"/>
      <c r="D17" s="384"/>
      <c r="E17" s="384"/>
      <c r="F17" s="275"/>
      <c r="G17" s="385"/>
    </row>
    <row r="18" spans="1:8" x14ac:dyDescent="0.2">
      <c r="A18" s="420" t="s">
        <v>293</v>
      </c>
      <c r="B18" s="8"/>
      <c r="C18" s="384"/>
      <c r="D18" s="384"/>
      <c r="E18" s="384"/>
      <c r="F18" s="275"/>
      <c r="G18" s="385"/>
    </row>
    <row r="19" spans="1:8" x14ac:dyDescent="0.2">
      <c r="A19" s="23"/>
      <c r="B19" s="8"/>
      <c r="C19" s="384"/>
      <c r="D19" s="384"/>
      <c r="E19" s="384"/>
      <c r="F19" s="275"/>
      <c r="G19" s="385"/>
    </row>
    <row r="20" spans="1:8" s="387" customFormat="1" x14ac:dyDescent="0.2">
      <c r="A20" s="386" t="s">
        <v>278</v>
      </c>
    </row>
    <row r="22" spans="1:8" x14ac:dyDescent="0.2">
      <c r="A22" s="35" t="s">
        <v>247</v>
      </c>
      <c r="B22" s="414" t="s">
        <v>282</v>
      </c>
      <c r="C22" s="388"/>
    </row>
    <row r="23" spans="1:8" x14ac:dyDescent="0.2">
      <c r="A23" s="389"/>
      <c r="B23" s="390"/>
      <c r="C23" s="391" t="s">
        <v>277</v>
      </c>
      <c r="D23" s="392"/>
      <c r="F23" s="388">
        <v>10</v>
      </c>
    </row>
    <row r="24" spans="1:8" x14ac:dyDescent="0.2">
      <c r="A24" s="389" t="s">
        <v>251</v>
      </c>
      <c r="B24" s="392" t="s">
        <v>277</v>
      </c>
      <c r="C24" s="393">
        <v>13</v>
      </c>
      <c r="E24" s="394"/>
    </row>
    <row r="25" spans="1:8" ht="13.5" thickBot="1" x14ac:dyDescent="0.25">
      <c r="A25" s="389"/>
      <c r="D25" s="8"/>
      <c r="E25" s="395"/>
      <c r="G25" s="414" t="s">
        <v>294</v>
      </c>
    </row>
    <row r="26" spans="1:8" x14ac:dyDescent="0.2">
      <c r="A26" s="389" t="s">
        <v>246</v>
      </c>
      <c r="B26" s="414" t="s">
        <v>294</v>
      </c>
      <c r="C26" s="396">
        <v>13</v>
      </c>
      <c r="E26" s="395"/>
      <c r="F26" s="397"/>
      <c r="G26" s="398" t="s">
        <v>148</v>
      </c>
      <c r="H26" s="399"/>
    </row>
    <row r="27" spans="1:8" x14ac:dyDescent="0.2">
      <c r="A27" s="389"/>
      <c r="B27" s="390"/>
      <c r="C27" s="400" t="s">
        <v>286</v>
      </c>
      <c r="E27" s="401"/>
      <c r="F27" s="396">
        <v>13</v>
      </c>
    </row>
    <row r="28" spans="1:8" ht="13.5" thickBot="1" x14ac:dyDescent="0.25">
      <c r="A28" s="389" t="s">
        <v>252</v>
      </c>
      <c r="B28" s="392" t="s">
        <v>284</v>
      </c>
      <c r="C28" s="402"/>
      <c r="D28" s="390"/>
      <c r="F28" s="8"/>
      <c r="G28" s="8" t="s">
        <v>277</v>
      </c>
      <c r="H28" s="403"/>
    </row>
    <row r="29" spans="1:8" x14ac:dyDescent="0.2">
      <c r="A29" s="45"/>
      <c r="F29" s="8"/>
      <c r="G29" s="398" t="s">
        <v>149</v>
      </c>
      <c r="H29" s="8"/>
    </row>
    <row r="30" spans="1:8" x14ac:dyDescent="0.2">
      <c r="A30" s="45"/>
      <c r="C30" s="9" t="s">
        <v>282</v>
      </c>
      <c r="F30" s="410" t="s">
        <v>20</v>
      </c>
      <c r="G30" s="8"/>
      <c r="H30" s="8"/>
    </row>
    <row r="31" spans="1:8" ht="13.5" thickBot="1" x14ac:dyDescent="0.25">
      <c r="A31" s="45"/>
      <c r="C31" s="390"/>
      <c r="D31" s="390"/>
      <c r="E31" s="394"/>
      <c r="F31" s="403"/>
      <c r="G31" s="403" t="s">
        <v>284</v>
      </c>
      <c r="H31" s="403"/>
    </row>
    <row r="32" spans="1:8" x14ac:dyDescent="0.2">
      <c r="A32" s="45"/>
      <c r="C32" s="392" t="s">
        <v>284</v>
      </c>
      <c r="D32" s="392"/>
      <c r="E32" s="401"/>
      <c r="F32" s="404">
        <v>13</v>
      </c>
      <c r="G32" s="23" t="s">
        <v>150</v>
      </c>
      <c r="H32" s="8"/>
    </row>
    <row r="33" spans="1:8" x14ac:dyDescent="0.2">
      <c r="A33" s="45"/>
      <c r="G33" s="8"/>
      <c r="H33" s="8"/>
    </row>
    <row r="34" spans="1:8" ht="13.5" thickBot="1" x14ac:dyDescent="0.25">
      <c r="A34" s="45"/>
      <c r="D34" s="8"/>
      <c r="E34" s="8"/>
      <c r="G34" s="403" t="s">
        <v>282</v>
      </c>
      <c r="H34" s="403"/>
    </row>
    <row r="35" spans="1:8" x14ac:dyDescent="0.2">
      <c r="A35" s="45"/>
      <c r="D35" s="8"/>
      <c r="E35" s="8"/>
      <c r="G35" s="45" t="s">
        <v>151</v>
      </c>
    </row>
    <row r="36" spans="1:8" x14ac:dyDescent="0.2">
      <c r="A36" s="23"/>
      <c r="B36" s="8"/>
      <c r="C36" s="384"/>
      <c r="D36" s="384"/>
      <c r="E36" s="384"/>
      <c r="F36" s="275"/>
      <c r="G36" s="385"/>
    </row>
    <row r="37" spans="1:8" s="387" customFormat="1" x14ac:dyDescent="0.2">
      <c r="A37" s="386" t="s">
        <v>279</v>
      </c>
    </row>
    <row r="39" spans="1:8" x14ac:dyDescent="0.2">
      <c r="A39" s="35" t="s">
        <v>255</v>
      </c>
      <c r="B39" s="9" t="s">
        <v>283</v>
      </c>
      <c r="C39" s="404">
        <v>13</v>
      </c>
    </row>
    <row r="40" spans="1:8" x14ac:dyDescent="0.2">
      <c r="A40" s="389"/>
      <c r="B40" s="390"/>
      <c r="C40" s="391" t="s">
        <v>283</v>
      </c>
      <c r="D40" s="392"/>
      <c r="F40" s="404">
        <v>13</v>
      </c>
    </row>
    <row r="41" spans="1:8" x14ac:dyDescent="0.2">
      <c r="A41" s="389" t="s">
        <v>265</v>
      </c>
      <c r="B41" s="392" t="s">
        <v>285</v>
      </c>
      <c r="C41" s="409" t="s">
        <v>147</v>
      </c>
      <c r="E41" s="394"/>
    </row>
    <row r="42" spans="1:8" ht="13.5" thickBot="1" x14ac:dyDescent="0.25">
      <c r="A42" s="389"/>
      <c r="D42" s="8"/>
      <c r="E42" s="395"/>
      <c r="G42" s="9" t="s">
        <v>283</v>
      </c>
    </row>
    <row r="43" spans="1:8" x14ac:dyDescent="0.2">
      <c r="A43" s="389" t="s">
        <v>264</v>
      </c>
      <c r="B43" s="9" t="s">
        <v>288</v>
      </c>
      <c r="C43" s="396">
        <v>13</v>
      </c>
      <c r="E43" s="395"/>
      <c r="F43" s="397"/>
      <c r="G43" s="398" t="s">
        <v>152</v>
      </c>
      <c r="H43" s="399"/>
    </row>
    <row r="44" spans="1:8" x14ac:dyDescent="0.2">
      <c r="A44" s="389"/>
      <c r="B44" s="390"/>
      <c r="C44" s="400" t="s">
        <v>288</v>
      </c>
      <c r="E44" s="401"/>
      <c r="F44" s="410" t="s">
        <v>147</v>
      </c>
    </row>
    <row r="45" spans="1:8" ht="13.5" thickBot="1" x14ac:dyDescent="0.25">
      <c r="A45" s="389" t="s">
        <v>280</v>
      </c>
      <c r="B45" s="392" t="s">
        <v>281</v>
      </c>
      <c r="C45" s="411" t="s">
        <v>147</v>
      </c>
      <c r="D45" s="390"/>
      <c r="F45" s="8"/>
      <c r="G45" s="8" t="s">
        <v>288</v>
      </c>
      <c r="H45" s="403"/>
    </row>
    <row r="46" spans="1:8" x14ac:dyDescent="0.2">
      <c r="A46" s="45"/>
      <c r="F46" s="8"/>
      <c r="G46" s="398" t="s">
        <v>153</v>
      </c>
      <c r="H46" s="8"/>
    </row>
    <row r="47" spans="1:8" x14ac:dyDescent="0.2">
      <c r="A47" s="45"/>
      <c r="C47" s="9" t="s">
        <v>285</v>
      </c>
      <c r="F47" s="396" t="s">
        <v>147</v>
      </c>
      <c r="G47" s="8"/>
      <c r="H47" s="8"/>
    </row>
    <row r="48" spans="1:8" ht="13.5" thickBot="1" x14ac:dyDescent="0.25">
      <c r="A48" s="45"/>
      <c r="C48" s="390"/>
      <c r="D48" s="390"/>
      <c r="E48" s="394"/>
      <c r="F48" s="403"/>
      <c r="G48" s="403" t="s">
        <v>281</v>
      </c>
      <c r="H48" s="403"/>
    </row>
    <row r="49" spans="1:8" x14ac:dyDescent="0.2">
      <c r="A49" s="45"/>
      <c r="C49" s="392" t="s">
        <v>281</v>
      </c>
      <c r="D49" s="392"/>
      <c r="E49" s="401"/>
      <c r="F49" s="413" t="s">
        <v>147</v>
      </c>
      <c r="G49" s="23" t="s">
        <v>154</v>
      </c>
      <c r="H49" s="8"/>
    </row>
    <row r="50" spans="1:8" x14ac:dyDescent="0.2">
      <c r="A50" s="45"/>
      <c r="G50" s="8"/>
      <c r="H50" s="8"/>
    </row>
    <row r="51" spans="1:8" ht="13.5" thickBot="1" x14ac:dyDescent="0.25">
      <c r="A51" s="45"/>
      <c r="D51" s="8"/>
      <c r="E51" s="8"/>
      <c r="G51" s="412" t="s">
        <v>285</v>
      </c>
      <c r="H51" s="403"/>
    </row>
    <row r="52" spans="1:8" x14ac:dyDescent="0.2">
      <c r="A52" s="45"/>
      <c r="D52" s="8"/>
      <c r="E52" s="8"/>
      <c r="G52" s="45" t="s">
        <v>155</v>
      </c>
    </row>
    <row r="53" spans="1:8" x14ac:dyDescent="0.2">
      <c r="A53" s="45"/>
      <c r="D53" s="8"/>
      <c r="E53" s="8"/>
      <c r="G53" s="45"/>
    </row>
    <row r="54" spans="1:8" s="245" customFormat="1" x14ac:dyDescent="0.2"/>
    <row r="56" spans="1:8" x14ac:dyDescent="0.2">
      <c r="A56" s="30">
        <v>1</v>
      </c>
      <c r="B56" s="32" t="s">
        <v>294</v>
      </c>
    </row>
    <row r="57" spans="1:8" x14ac:dyDescent="0.2">
      <c r="A57" s="30">
        <v>2</v>
      </c>
      <c r="B57" s="415" t="s">
        <v>277</v>
      </c>
    </row>
    <row r="58" spans="1:8" x14ac:dyDescent="0.2">
      <c r="A58" s="30">
        <v>3</v>
      </c>
      <c r="B58" s="416" t="s">
        <v>284</v>
      </c>
    </row>
    <row r="59" spans="1:8" x14ac:dyDescent="0.2">
      <c r="A59" s="30">
        <v>4</v>
      </c>
      <c r="B59" s="406" t="s">
        <v>282</v>
      </c>
    </row>
    <row r="60" spans="1:8" x14ac:dyDescent="0.2">
      <c r="A60" s="30">
        <v>5</v>
      </c>
      <c r="B60" s="406" t="s">
        <v>283</v>
      </c>
    </row>
    <row r="61" spans="1:8" x14ac:dyDescent="0.2">
      <c r="A61" s="30">
        <v>6</v>
      </c>
      <c r="B61" s="406" t="s">
        <v>288</v>
      </c>
    </row>
    <row r="62" spans="1:8" x14ac:dyDescent="0.2">
      <c r="A62" s="30">
        <v>7</v>
      </c>
      <c r="B62" s="406" t="s">
        <v>281</v>
      </c>
    </row>
    <row r="63" spans="1:8" x14ac:dyDescent="0.2">
      <c r="A63" s="30">
        <v>8</v>
      </c>
      <c r="B63" s="406" t="s">
        <v>285</v>
      </c>
    </row>
  </sheetData>
  <pageMargins left="0.39370078740157483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08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31.140625" style="9" bestFit="1" customWidth="1"/>
    <col min="3" max="3" width="7.28515625" style="9" customWidth="1"/>
    <col min="4" max="4" width="7.42578125" style="9" customWidth="1"/>
    <col min="5" max="5" width="9.140625" style="9"/>
    <col min="6" max="6" width="6.7109375" style="9" customWidth="1"/>
    <col min="7" max="7" width="5.140625" style="9" bestFit="1" customWidth="1"/>
    <col min="8" max="11" width="9.140625" style="9"/>
    <col min="12" max="17" width="4.7109375" style="9" customWidth="1"/>
    <col min="18" max="16384" width="9.140625" style="9"/>
  </cols>
  <sheetData>
    <row r="1" spans="1:15" x14ac:dyDescent="0.2">
      <c r="A1" s="45" t="str">
        <f>UPPER((Kalend!E8)&amp;" - "&amp;(Kalend!C8)&amp;" - "&amp;(Kalend!D8))</f>
        <v>2 - K-JÄRVE 15. KV 2. ETAPP - DUO</v>
      </c>
      <c r="F1" s="297" t="str">
        <f>HYPERLINK("#Kalend!I1","Kalender")</f>
        <v>Kalender</v>
      </c>
      <c r="G1" s="478"/>
      <c r="H1" s="297" t="str">
        <f>HYPERLINK("#Reit!K1","Reiting")</f>
        <v>Reiting</v>
      </c>
      <c r="I1" s="478"/>
      <c r="J1" s="478"/>
    </row>
    <row r="2" spans="1:15" x14ac:dyDescent="0.2">
      <c r="A2" s="9" t="str">
        <f>"Toimumisaeg: "&amp;(Kalend!A8)&amp;" kell "&amp;(Kalend!B8)</f>
        <v>Toimumisaeg: P, 15.05.2016 kell 11:00</v>
      </c>
    </row>
    <row r="3" spans="1:15" x14ac:dyDescent="0.2">
      <c r="A3" s="9" t="str">
        <f>"Toimumiskoht: "&amp;(Kalend!F8)</f>
        <v>Toimumiskoht: K-Järve spordihoone</v>
      </c>
    </row>
    <row r="4" spans="1:15" x14ac:dyDescent="0.2">
      <c r="A4" s="9" t="str">
        <f>"Korraldaja: "&amp;(Kalend!G8)</f>
        <v>Korraldaja: K-Järve SHK, Ivar Viljaste</v>
      </c>
    </row>
    <row r="5" spans="1:15" s="414" customFormat="1" x14ac:dyDescent="0.2"/>
    <row r="6" spans="1:15" s="414" customFormat="1" x14ac:dyDescent="0.2">
      <c r="A6" s="30" t="s">
        <v>271</v>
      </c>
      <c r="B6" s="30"/>
      <c r="C6" s="381" t="s">
        <v>272</v>
      </c>
      <c r="D6" s="381" t="s">
        <v>273</v>
      </c>
      <c r="E6" s="381" t="s">
        <v>274</v>
      </c>
      <c r="F6" s="381" t="s">
        <v>275</v>
      </c>
      <c r="G6" s="381" t="s">
        <v>86</v>
      </c>
      <c r="I6" s="8"/>
      <c r="J6" s="8"/>
      <c r="K6" s="384"/>
      <c r="L6" s="384"/>
      <c r="M6" s="384"/>
      <c r="N6" s="384"/>
      <c r="O6" s="384"/>
    </row>
    <row r="7" spans="1:15" s="414" customFormat="1" x14ac:dyDescent="0.2">
      <c r="A7" s="30">
        <v>1</v>
      </c>
      <c r="B7" s="450" t="s">
        <v>298</v>
      </c>
      <c r="C7" s="383">
        <v>13</v>
      </c>
      <c r="D7" s="383">
        <v>13</v>
      </c>
      <c r="E7" s="382"/>
      <c r="F7" s="382"/>
      <c r="G7" s="451" t="s">
        <v>259</v>
      </c>
      <c r="I7" s="8"/>
      <c r="J7" s="424"/>
      <c r="K7" s="275"/>
      <c r="L7" s="275"/>
      <c r="M7" s="275"/>
      <c r="N7" s="275"/>
      <c r="O7" s="276"/>
    </row>
    <row r="8" spans="1:15" s="414" customFormat="1" x14ac:dyDescent="0.2">
      <c r="A8" s="30">
        <v>2</v>
      </c>
      <c r="B8" s="405" t="s">
        <v>301</v>
      </c>
      <c r="C8" s="383">
        <v>13</v>
      </c>
      <c r="D8" s="382">
        <v>11</v>
      </c>
      <c r="E8" s="382"/>
      <c r="F8" s="382">
        <v>2</v>
      </c>
      <c r="G8" s="451" t="s">
        <v>260</v>
      </c>
      <c r="I8" s="8"/>
      <c r="J8" s="26"/>
      <c r="K8" s="275"/>
      <c r="L8" s="275"/>
      <c r="M8" s="275"/>
      <c r="N8" s="275"/>
      <c r="O8" s="276"/>
    </row>
    <row r="9" spans="1:15" s="414" customFormat="1" x14ac:dyDescent="0.2">
      <c r="A9" s="30">
        <v>3</v>
      </c>
      <c r="B9" s="450" t="s">
        <v>300</v>
      </c>
      <c r="C9" s="382">
        <v>11</v>
      </c>
      <c r="D9" s="382"/>
      <c r="E9" s="383">
        <v>13</v>
      </c>
      <c r="F9" s="383">
        <v>13</v>
      </c>
      <c r="G9" s="451" t="s">
        <v>146</v>
      </c>
      <c r="I9" s="8"/>
      <c r="J9" s="424"/>
      <c r="K9" s="275"/>
      <c r="L9" s="275"/>
      <c r="M9" s="275"/>
      <c r="N9" s="275"/>
      <c r="O9" s="276"/>
    </row>
    <row r="10" spans="1:15" s="414" customFormat="1" x14ac:dyDescent="0.2">
      <c r="A10" s="30">
        <v>4</v>
      </c>
      <c r="B10" s="453" t="s">
        <v>305</v>
      </c>
      <c r="C10" s="382">
        <v>0</v>
      </c>
      <c r="D10" s="382"/>
      <c r="E10" s="382">
        <v>8</v>
      </c>
      <c r="F10" s="382"/>
      <c r="G10" s="451" t="s">
        <v>261</v>
      </c>
      <c r="I10" s="8"/>
      <c r="J10" s="26"/>
      <c r="K10" s="275"/>
      <c r="L10" s="275"/>
      <c r="M10" s="275"/>
      <c r="N10" s="275"/>
      <c r="O10" s="276"/>
    </row>
    <row r="11" spans="1:15" s="414" customFormat="1" x14ac:dyDescent="0.2">
      <c r="A11" s="23"/>
      <c r="B11" s="8"/>
      <c r="C11" s="384"/>
      <c r="D11" s="384"/>
      <c r="E11" s="384"/>
      <c r="F11" s="275"/>
      <c r="G11" s="385"/>
      <c r="I11" s="8"/>
      <c r="J11" s="8"/>
      <c r="K11" s="384"/>
      <c r="L11" s="384"/>
      <c r="M11" s="384"/>
      <c r="N11" s="275"/>
      <c r="O11" s="385"/>
    </row>
    <row r="12" spans="1:15" s="414" customFormat="1" x14ac:dyDescent="0.2">
      <c r="A12" s="30" t="s">
        <v>276</v>
      </c>
      <c r="B12" s="30"/>
      <c r="C12" s="381" t="s">
        <v>272</v>
      </c>
      <c r="D12" s="381" t="s">
        <v>273</v>
      </c>
      <c r="E12" s="381" t="s">
        <v>274</v>
      </c>
      <c r="F12" s="381" t="s">
        <v>275</v>
      </c>
      <c r="G12" s="381" t="s">
        <v>86</v>
      </c>
      <c r="I12" s="8"/>
      <c r="J12" s="8"/>
      <c r="K12" s="384"/>
      <c r="L12" s="384"/>
      <c r="M12" s="384"/>
      <c r="N12" s="384"/>
      <c r="O12" s="384"/>
    </row>
    <row r="13" spans="1:15" s="414" customFormat="1" x14ac:dyDescent="0.2">
      <c r="A13" s="30">
        <v>1</v>
      </c>
      <c r="B13" s="450" t="s">
        <v>302</v>
      </c>
      <c r="C13" s="383">
        <v>13</v>
      </c>
      <c r="D13" s="383">
        <v>13</v>
      </c>
      <c r="E13" s="382"/>
      <c r="F13" s="382"/>
      <c r="G13" s="451" t="s">
        <v>259</v>
      </c>
      <c r="I13" s="8"/>
      <c r="J13" s="424"/>
      <c r="K13" s="275"/>
      <c r="L13" s="275"/>
      <c r="M13" s="275"/>
      <c r="N13" s="275"/>
      <c r="O13" s="276"/>
    </row>
    <row r="14" spans="1:15" s="414" customFormat="1" x14ac:dyDescent="0.2">
      <c r="A14" s="30">
        <v>2</v>
      </c>
      <c r="B14" s="405" t="s">
        <v>306</v>
      </c>
      <c r="C14" s="382">
        <v>4</v>
      </c>
      <c r="D14" s="382"/>
      <c r="E14" s="383">
        <v>13</v>
      </c>
      <c r="F14" s="382">
        <v>3</v>
      </c>
      <c r="G14" s="451" t="s">
        <v>260</v>
      </c>
      <c r="I14" s="8"/>
      <c r="J14" s="424"/>
      <c r="K14" s="275"/>
      <c r="L14" s="275"/>
      <c r="M14" s="275"/>
      <c r="N14" s="275"/>
      <c r="O14" s="276"/>
    </row>
    <row r="15" spans="1:15" s="414" customFormat="1" x14ac:dyDescent="0.2">
      <c r="A15" s="30">
        <v>3</v>
      </c>
      <c r="B15" s="450" t="s">
        <v>307</v>
      </c>
      <c r="C15" s="383">
        <v>13</v>
      </c>
      <c r="D15" s="382">
        <v>7</v>
      </c>
      <c r="E15" s="382"/>
      <c r="F15" s="383">
        <v>13</v>
      </c>
      <c r="G15" s="451" t="s">
        <v>146</v>
      </c>
      <c r="I15" s="8"/>
      <c r="J15" s="26"/>
      <c r="K15" s="275"/>
      <c r="L15" s="275"/>
      <c r="M15" s="275"/>
      <c r="N15" s="275"/>
      <c r="O15" s="276"/>
    </row>
    <row r="16" spans="1:15" s="414" customFormat="1" x14ac:dyDescent="0.2">
      <c r="A16" s="30">
        <v>4</v>
      </c>
      <c r="B16" s="407"/>
      <c r="C16" s="382">
        <v>0</v>
      </c>
      <c r="D16" s="382"/>
      <c r="E16" s="382">
        <v>0</v>
      </c>
      <c r="F16" s="382"/>
      <c r="G16" s="451" t="s">
        <v>261</v>
      </c>
      <c r="I16" s="8"/>
      <c r="J16" s="26"/>
      <c r="K16" s="275"/>
      <c r="L16" s="275"/>
      <c r="M16" s="275"/>
      <c r="N16" s="275"/>
      <c r="O16" s="276"/>
    </row>
    <row r="17" spans="1:15" s="414" customFormat="1" x14ac:dyDescent="0.2">
      <c r="A17" s="23"/>
      <c r="B17" s="8"/>
      <c r="C17" s="384"/>
      <c r="D17" s="384"/>
      <c r="E17" s="384"/>
      <c r="F17" s="275"/>
      <c r="G17" s="385"/>
      <c r="I17" s="8"/>
      <c r="J17" s="8"/>
      <c r="K17" s="8"/>
      <c r="L17" s="8"/>
      <c r="M17" s="8"/>
      <c r="N17" s="8"/>
      <c r="O17" s="8"/>
    </row>
    <row r="18" spans="1:15" s="414" customFormat="1" x14ac:dyDescent="0.2">
      <c r="A18" s="30" t="s">
        <v>299</v>
      </c>
      <c r="B18" s="30"/>
      <c r="C18" s="381" t="s">
        <v>272</v>
      </c>
      <c r="D18" s="381" t="s">
        <v>273</v>
      </c>
      <c r="E18" s="381" t="s">
        <v>274</v>
      </c>
      <c r="F18" s="381" t="s">
        <v>275</v>
      </c>
      <c r="G18" s="381" t="s">
        <v>86</v>
      </c>
      <c r="I18" s="8"/>
      <c r="J18" s="8"/>
      <c r="K18" s="384"/>
      <c r="L18" s="384"/>
      <c r="M18" s="384"/>
      <c r="N18" s="384"/>
      <c r="O18" s="384"/>
    </row>
    <row r="19" spans="1:15" s="414" customFormat="1" x14ac:dyDescent="0.2">
      <c r="A19" s="30">
        <v>1</v>
      </c>
      <c r="B19" s="450" t="s">
        <v>308</v>
      </c>
      <c r="C19" s="382">
        <v>8</v>
      </c>
      <c r="D19" s="382"/>
      <c r="E19" s="383">
        <v>13</v>
      </c>
      <c r="F19" s="383">
        <v>13</v>
      </c>
      <c r="G19" s="451" t="s">
        <v>146</v>
      </c>
      <c r="I19" s="8"/>
      <c r="J19" s="26"/>
      <c r="K19" s="275"/>
      <c r="L19" s="275"/>
      <c r="M19" s="275"/>
      <c r="N19" s="275"/>
      <c r="O19" s="276"/>
    </row>
    <row r="20" spans="1:15" s="414" customFormat="1" x14ac:dyDescent="0.2">
      <c r="A20" s="30">
        <v>2</v>
      </c>
      <c r="B20" s="450" t="s">
        <v>309</v>
      </c>
      <c r="C20" s="382">
        <v>0</v>
      </c>
      <c r="D20" s="382"/>
      <c r="E20" s="382">
        <v>8</v>
      </c>
      <c r="F20" s="382"/>
      <c r="G20" s="451" t="s">
        <v>261</v>
      </c>
      <c r="I20" s="8"/>
      <c r="J20" s="424"/>
      <c r="K20" s="275"/>
      <c r="L20" s="275"/>
      <c r="M20" s="275"/>
      <c r="N20" s="275"/>
      <c r="O20" s="276"/>
    </row>
    <row r="21" spans="1:15" s="414" customFormat="1" x14ac:dyDescent="0.2">
      <c r="A21" s="30">
        <v>3</v>
      </c>
      <c r="B21" s="450" t="s">
        <v>310</v>
      </c>
      <c r="C21" s="383">
        <v>13</v>
      </c>
      <c r="D21" s="383">
        <v>13</v>
      </c>
      <c r="E21" s="382"/>
      <c r="F21" s="382"/>
      <c r="G21" s="451" t="s">
        <v>259</v>
      </c>
      <c r="I21" s="8"/>
      <c r="J21" s="424"/>
      <c r="K21" s="275"/>
      <c r="L21" s="275"/>
      <c r="M21" s="275"/>
      <c r="N21" s="275"/>
      <c r="O21" s="276"/>
    </row>
    <row r="22" spans="1:15" s="414" customFormat="1" x14ac:dyDescent="0.2">
      <c r="A22" s="30">
        <v>4</v>
      </c>
      <c r="B22" s="450" t="s">
        <v>311</v>
      </c>
      <c r="C22" s="383">
        <v>13</v>
      </c>
      <c r="D22" s="382">
        <v>4</v>
      </c>
      <c r="E22" s="382"/>
      <c r="F22" s="382">
        <v>5</v>
      </c>
      <c r="G22" s="451" t="s">
        <v>260</v>
      </c>
      <c r="I22" s="8"/>
      <c r="J22" s="26"/>
      <c r="K22" s="275"/>
      <c r="L22" s="275"/>
      <c r="M22" s="275"/>
      <c r="N22" s="275"/>
      <c r="O22" s="276"/>
    </row>
    <row r="23" spans="1:15" s="414" customFormat="1" x14ac:dyDescent="0.2">
      <c r="I23" s="8"/>
      <c r="J23" s="8"/>
      <c r="K23" s="384"/>
      <c r="L23" s="384"/>
      <c r="M23" s="384"/>
      <c r="N23" s="275"/>
      <c r="O23" s="385"/>
    </row>
    <row r="24" spans="1:15" s="387" customFormat="1" x14ac:dyDescent="0.2">
      <c r="A24" s="386" t="s">
        <v>303</v>
      </c>
    </row>
    <row r="25" spans="1:15" s="387" customFormat="1" x14ac:dyDescent="0.2">
      <c r="A25" s="386"/>
    </row>
    <row r="26" spans="1:15" s="387" customFormat="1" x14ac:dyDescent="0.2">
      <c r="A26" s="425" t="s">
        <v>247</v>
      </c>
      <c r="B26" s="387" t="s">
        <v>298</v>
      </c>
      <c r="C26" s="431">
        <v>13</v>
      </c>
    </row>
    <row r="27" spans="1:15" s="387" customFormat="1" x14ac:dyDescent="0.2">
      <c r="A27" s="427"/>
      <c r="B27" s="428"/>
      <c r="C27" s="429" t="s">
        <v>298</v>
      </c>
      <c r="D27" s="430"/>
      <c r="F27" s="431">
        <v>13</v>
      </c>
    </row>
    <row r="28" spans="1:15" s="387" customFormat="1" x14ac:dyDescent="0.2">
      <c r="A28" s="425"/>
      <c r="B28" s="452" t="s">
        <v>147</v>
      </c>
      <c r="C28" s="449">
        <v>0</v>
      </c>
      <c r="E28" s="434"/>
    </row>
    <row r="29" spans="1:15" s="387" customFormat="1" x14ac:dyDescent="0.2">
      <c r="A29" s="427"/>
      <c r="D29" s="435"/>
      <c r="E29" s="436"/>
      <c r="F29" s="387" t="s">
        <v>298</v>
      </c>
      <c r="I29" s="426">
        <v>0</v>
      </c>
    </row>
    <row r="30" spans="1:15" s="387" customFormat="1" x14ac:dyDescent="0.2">
      <c r="A30" s="425" t="s">
        <v>251</v>
      </c>
      <c r="B30" s="437" t="s">
        <v>307</v>
      </c>
      <c r="C30" s="438">
        <v>13</v>
      </c>
      <c r="E30" s="436"/>
      <c r="F30" s="428"/>
      <c r="G30" s="428"/>
      <c r="H30" s="434"/>
    </row>
    <row r="31" spans="1:15" s="387" customFormat="1" x14ac:dyDescent="0.2">
      <c r="A31" s="427"/>
      <c r="B31" s="428"/>
      <c r="C31" s="439" t="s">
        <v>307</v>
      </c>
      <c r="E31" s="440"/>
      <c r="F31" s="441">
        <v>9</v>
      </c>
      <c r="G31" s="435"/>
      <c r="H31" s="436"/>
    </row>
    <row r="32" spans="1:15" s="387" customFormat="1" x14ac:dyDescent="0.2">
      <c r="A32" s="425" t="s">
        <v>254</v>
      </c>
      <c r="B32" s="432" t="s">
        <v>308</v>
      </c>
      <c r="C32" s="442">
        <v>10</v>
      </c>
      <c r="D32" s="428"/>
      <c r="F32" s="435"/>
      <c r="G32" s="435"/>
      <c r="H32" s="436"/>
    </row>
    <row r="33" spans="1:11" s="387" customFormat="1" ht="13.5" thickBot="1" x14ac:dyDescent="0.25">
      <c r="A33" s="427"/>
      <c r="F33" s="435"/>
      <c r="G33" s="435"/>
      <c r="H33" s="436"/>
      <c r="J33" s="387" t="s">
        <v>310</v>
      </c>
    </row>
    <row r="34" spans="1:11" s="387" customFormat="1" x14ac:dyDescent="0.2">
      <c r="A34" s="425" t="s">
        <v>252</v>
      </c>
      <c r="B34" s="387" t="s">
        <v>300</v>
      </c>
      <c r="C34" s="426">
        <v>4</v>
      </c>
      <c r="F34" s="435"/>
      <c r="G34" s="435"/>
      <c r="H34" s="436"/>
      <c r="I34" s="443"/>
      <c r="J34" s="444" t="s">
        <v>148</v>
      </c>
      <c r="K34" s="445"/>
    </row>
    <row r="35" spans="1:11" s="387" customFormat="1" x14ac:dyDescent="0.2">
      <c r="A35" s="427"/>
      <c r="B35" s="428"/>
      <c r="C35" s="429" t="s">
        <v>302</v>
      </c>
      <c r="D35" s="430"/>
      <c r="F35" s="441">
        <v>12</v>
      </c>
      <c r="G35" s="435"/>
      <c r="H35" s="436"/>
    </row>
    <row r="36" spans="1:11" s="387" customFormat="1" ht="13.5" thickBot="1" x14ac:dyDescent="0.25">
      <c r="A36" s="425" t="s">
        <v>246</v>
      </c>
      <c r="B36" s="430" t="s">
        <v>302</v>
      </c>
      <c r="C36" s="433">
        <v>13</v>
      </c>
      <c r="E36" s="434"/>
      <c r="F36" s="435"/>
      <c r="G36" s="435"/>
      <c r="H36" s="436"/>
      <c r="J36" s="446" t="s">
        <v>298</v>
      </c>
      <c r="K36" s="446"/>
    </row>
    <row r="37" spans="1:11" s="387" customFormat="1" x14ac:dyDescent="0.2">
      <c r="A37" s="427"/>
      <c r="D37" s="435"/>
      <c r="E37" s="436"/>
      <c r="F37" s="430" t="s">
        <v>310</v>
      </c>
      <c r="G37" s="430"/>
      <c r="H37" s="440"/>
      <c r="I37" s="431">
        <v>13</v>
      </c>
      <c r="J37" s="444" t="s">
        <v>149</v>
      </c>
    </row>
    <row r="38" spans="1:11" s="387" customFormat="1" x14ac:dyDescent="0.2">
      <c r="A38" s="425" t="s">
        <v>249</v>
      </c>
      <c r="B38" s="387" t="s">
        <v>310</v>
      </c>
      <c r="C38" s="438">
        <v>13</v>
      </c>
      <c r="E38" s="436"/>
    </row>
    <row r="39" spans="1:11" s="387" customFormat="1" x14ac:dyDescent="0.2">
      <c r="A39" s="427"/>
      <c r="B39" s="428"/>
      <c r="C39" s="439" t="s">
        <v>310</v>
      </c>
      <c r="E39" s="440"/>
      <c r="F39" s="431">
        <v>13</v>
      </c>
    </row>
    <row r="40" spans="1:11" s="387" customFormat="1" x14ac:dyDescent="0.2">
      <c r="A40" s="425"/>
      <c r="B40" s="454" t="s">
        <v>147</v>
      </c>
      <c r="C40" s="442">
        <v>0</v>
      </c>
      <c r="D40" s="428"/>
    </row>
    <row r="41" spans="1:11" s="387" customFormat="1" x14ac:dyDescent="0.2">
      <c r="F41" s="387" t="s">
        <v>307</v>
      </c>
      <c r="I41" s="441"/>
      <c r="J41" s="435"/>
      <c r="K41" s="435"/>
    </row>
    <row r="42" spans="1:11" s="387" customFormat="1" ht="13.5" thickBot="1" x14ac:dyDescent="0.25">
      <c r="F42" s="428"/>
      <c r="G42" s="428"/>
      <c r="H42" s="434"/>
      <c r="I42" s="446"/>
      <c r="J42" s="446" t="s">
        <v>302</v>
      </c>
      <c r="K42" s="446"/>
    </row>
    <row r="43" spans="1:11" s="387" customFormat="1" x14ac:dyDescent="0.2">
      <c r="F43" s="430" t="s">
        <v>302</v>
      </c>
      <c r="G43" s="430"/>
      <c r="H43" s="440"/>
      <c r="I43" s="431">
        <v>13</v>
      </c>
      <c r="J43" s="447" t="s">
        <v>150</v>
      </c>
      <c r="K43" s="435"/>
    </row>
    <row r="44" spans="1:11" s="387" customFormat="1" x14ac:dyDescent="0.2">
      <c r="J44" s="435"/>
      <c r="K44" s="435"/>
    </row>
    <row r="45" spans="1:11" s="387" customFormat="1" ht="13.5" thickBot="1" x14ac:dyDescent="0.25">
      <c r="G45" s="435"/>
      <c r="H45" s="435"/>
      <c r="J45" s="446" t="s">
        <v>307</v>
      </c>
      <c r="K45" s="446"/>
    </row>
    <row r="46" spans="1:11" s="387" customFormat="1" x14ac:dyDescent="0.2">
      <c r="C46" s="455" t="s">
        <v>147</v>
      </c>
      <c r="F46" s="426">
        <v>0</v>
      </c>
      <c r="J46" s="448" t="s">
        <v>151</v>
      </c>
    </row>
    <row r="47" spans="1:11" s="387" customFormat="1" x14ac:dyDescent="0.2">
      <c r="C47" s="428"/>
      <c r="D47" s="428"/>
      <c r="E47" s="434"/>
      <c r="F47" s="429" t="s">
        <v>308</v>
      </c>
      <c r="G47" s="430"/>
      <c r="H47" s="430"/>
      <c r="I47" s="431">
        <v>13</v>
      </c>
    </row>
    <row r="48" spans="1:11" s="387" customFormat="1" x14ac:dyDescent="0.2">
      <c r="C48" s="430" t="s">
        <v>308</v>
      </c>
      <c r="D48" s="430"/>
      <c r="E48" s="440"/>
      <c r="F48" s="433">
        <v>13</v>
      </c>
      <c r="H48" s="436"/>
    </row>
    <row r="49" spans="1:11" s="387" customFormat="1" ht="13.5" thickBot="1" x14ac:dyDescent="0.25">
      <c r="F49" s="435"/>
      <c r="H49" s="436"/>
      <c r="J49" s="387" t="s">
        <v>308</v>
      </c>
    </row>
    <row r="50" spans="1:11" s="387" customFormat="1" x14ac:dyDescent="0.2">
      <c r="C50" s="387" t="s">
        <v>300</v>
      </c>
      <c r="F50" s="438">
        <v>13</v>
      </c>
      <c r="H50" s="436"/>
      <c r="I50" s="443"/>
      <c r="J50" s="444" t="s">
        <v>152</v>
      </c>
      <c r="K50" s="445"/>
    </row>
    <row r="51" spans="1:11" s="387" customFormat="1" x14ac:dyDescent="0.2">
      <c r="C51" s="428"/>
      <c r="D51" s="428"/>
      <c r="E51" s="434"/>
      <c r="F51" s="439" t="s">
        <v>300</v>
      </c>
      <c r="H51" s="440"/>
      <c r="I51" s="441">
        <v>7</v>
      </c>
    </row>
    <row r="52" spans="1:11" s="387" customFormat="1" ht="13.5" thickBot="1" x14ac:dyDescent="0.25">
      <c r="C52" s="454" t="s">
        <v>147</v>
      </c>
      <c r="D52" s="430"/>
      <c r="E52" s="440"/>
      <c r="F52" s="442">
        <v>0</v>
      </c>
      <c r="G52" s="428"/>
      <c r="I52" s="435"/>
      <c r="J52" s="435" t="s">
        <v>300</v>
      </c>
      <c r="K52" s="446"/>
    </row>
    <row r="53" spans="1:11" s="387" customFormat="1" x14ac:dyDescent="0.2">
      <c r="I53" s="435"/>
      <c r="J53" s="444" t="s">
        <v>153</v>
      </c>
      <c r="K53" s="435"/>
    </row>
    <row r="54" spans="1:11" s="387" customFormat="1" x14ac:dyDescent="0.2">
      <c r="I54" s="441"/>
      <c r="J54" s="435"/>
      <c r="K54" s="435"/>
    </row>
    <row r="55" spans="1:11" s="387" customFormat="1" ht="13.5" thickBot="1" x14ac:dyDescent="0.25">
      <c r="F55" s="428"/>
      <c r="G55" s="428"/>
      <c r="H55" s="434"/>
      <c r="I55" s="446"/>
      <c r="J55" s="446"/>
      <c r="K55" s="446"/>
    </row>
    <row r="56" spans="1:11" s="387" customFormat="1" x14ac:dyDescent="0.2">
      <c r="F56" s="430"/>
      <c r="G56" s="430"/>
      <c r="H56" s="440"/>
      <c r="I56" s="426"/>
      <c r="J56" s="447"/>
      <c r="K56" s="435"/>
    </row>
    <row r="57" spans="1:11" s="387" customFormat="1" x14ac:dyDescent="0.2">
      <c r="J57" s="435"/>
      <c r="K57" s="435"/>
    </row>
    <row r="58" spans="1:11" s="387" customFormat="1" ht="13.5" thickBot="1" x14ac:dyDescent="0.25">
      <c r="G58" s="435"/>
      <c r="H58" s="435"/>
      <c r="J58" s="446"/>
      <c r="K58" s="446"/>
    </row>
    <row r="59" spans="1:11" s="387" customFormat="1" x14ac:dyDescent="0.2">
      <c r="G59" s="435"/>
      <c r="H59" s="435"/>
      <c r="J59" s="448"/>
    </row>
    <row r="60" spans="1:11" s="414" customFormat="1" x14ac:dyDescent="0.2"/>
    <row r="61" spans="1:11" s="387" customFormat="1" x14ac:dyDescent="0.2">
      <c r="A61" s="386" t="s">
        <v>304</v>
      </c>
    </row>
    <row r="62" spans="1:11" s="387" customFormat="1" x14ac:dyDescent="0.2">
      <c r="A62" s="386"/>
    </row>
    <row r="63" spans="1:11" s="387" customFormat="1" x14ac:dyDescent="0.2">
      <c r="A63" s="425" t="s">
        <v>266</v>
      </c>
      <c r="B63" s="387" t="s">
        <v>309</v>
      </c>
      <c r="C63" s="426">
        <v>2</v>
      </c>
    </row>
    <row r="64" spans="1:11" s="387" customFormat="1" x14ac:dyDescent="0.2">
      <c r="A64" s="427"/>
      <c r="B64" s="428"/>
      <c r="C64" s="429" t="s">
        <v>305</v>
      </c>
      <c r="D64" s="430"/>
      <c r="F64" s="426">
        <v>6</v>
      </c>
    </row>
    <row r="65" spans="1:11" s="387" customFormat="1" x14ac:dyDescent="0.2">
      <c r="A65" s="425" t="s">
        <v>280</v>
      </c>
      <c r="B65" s="432" t="s">
        <v>305</v>
      </c>
      <c r="C65" s="433">
        <v>13</v>
      </c>
      <c r="E65" s="434"/>
    </row>
    <row r="66" spans="1:11" s="387" customFormat="1" x14ac:dyDescent="0.2">
      <c r="A66" s="427"/>
      <c r="D66" s="435"/>
      <c r="E66" s="436"/>
      <c r="F66" s="387" t="s">
        <v>301</v>
      </c>
      <c r="I66" s="431">
        <v>13</v>
      </c>
    </row>
    <row r="67" spans="1:11" s="387" customFormat="1" x14ac:dyDescent="0.2">
      <c r="A67" s="425" t="s">
        <v>255</v>
      </c>
      <c r="B67" s="437" t="s">
        <v>301</v>
      </c>
      <c r="C67" s="438">
        <v>13</v>
      </c>
      <c r="E67" s="436"/>
      <c r="F67" s="428"/>
      <c r="G67" s="428"/>
      <c r="H67" s="434"/>
    </row>
    <row r="68" spans="1:11" s="387" customFormat="1" x14ac:dyDescent="0.2">
      <c r="A68" s="427"/>
      <c r="B68" s="428"/>
      <c r="C68" s="439" t="s">
        <v>301</v>
      </c>
      <c r="E68" s="440"/>
      <c r="F68" s="438">
        <v>13</v>
      </c>
      <c r="G68" s="435"/>
      <c r="H68" s="436"/>
    </row>
    <row r="69" spans="1:11" s="387" customFormat="1" x14ac:dyDescent="0.2">
      <c r="A69" s="425"/>
      <c r="B69" s="452" t="s">
        <v>147</v>
      </c>
      <c r="C69" s="442">
        <v>0</v>
      </c>
      <c r="D69" s="428"/>
      <c r="F69" s="435"/>
      <c r="G69" s="435"/>
      <c r="H69" s="436"/>
    </row>
    <row r="70" spans="1:11" s="387" customFormat="1" ht="13.5" thickBot="1" x14ac:dyDescent="0.25">
      <c r="A70" s="427"/>
      <c r="F70" s="435"/>
      <c r="G70" s="435"/>
      <c r="H70" s="436"/>
      <c r="J70" s="387" t="s">
        <v>301</v>
      </c>
    </row>
    <row r="71" spans="1:11" s="387" customFormat="1" x14ac:dyDescent="0.2">
      <c r="A71" s="425" t="s">
        <v>267</v>
      </c>
      <c r="B71" s="455" t="s">
        <v>311</v>
      </c>
      <c r="C71" s="431">
        <v>13</v>
      </c>
      <c r="F71" s="435"/>
      <c r="G71" s="435"/>
      <c r="H71" s="436"/>
      <c r="I71" s="443"/>
      <c r="J71" s="444" t="s">
        <v>154</v>
      </c>
      <c r="K71" s="445"/>
    </row>
    <row r="72" spans="1:11" s="387" customFormat="1" x14ac:dyDescent="0.2">
      <c r="A72" s="427"/>
      <c r="B72" s="428"/>
      <c r="C72" s="429" t="s">
        <v>311</v>
      </c>
      <c r="D72" s="430"/>
      <c r="F72" s="441">
        <v>10</v>
      </c>
      <c r="G72" s="435"/>
      <c r="H72" s="436"/>
    </row>
    <row r="73" spans="1:11" s="387" customFormat="1" ht="13.5" thickBot="1" x14ac:dyDescent="0.25">
      <c r="A73" s="425"/>
      <c r="B73" s="454" t="s">
        <v>147</v>
      </c>
      <c r="C73" s="449">
        <v>0</v>
      </c>
      <c r="E73" s="434"/>
      <c r="F73" s="435"/>
      <c r="G73" s="435"/>
      <c r="H73" s="436"/>
      <c r="J73" s="446" t="s">
        <v>306</v>
      </c>
      <c r="K73" s="446"/>
    </row>
    <row r="74" spans="1:11" s="387" customFormat="1" x14ac:dyDescent="0.2">
      <c r="A74" s="427"/>
      <c r="D74" s="435"/>
      <c r="E74" s="436"/>
      <c r="F74" s="430" t="s">
        <v>306</v>
      </c>
      <c r="G74" s="430"/>
      <c r="H74" s="440"/>
      <c r="I74" s="426">
        <v>11</v>
      </c>
      <c r="J74" s="444" t="s">
        <v>155</v>
      </c>
    </row>
    <row r="75" spans="1:11" s="387" customFormat="1" x14ac:dyDescent="0.2">
      <c r="A75" s="425" t="s">
        <v>264</v>
      </c>
      <c r="B75" s="387" t="s">
        <v>306</v>
      </c>
      <c r="C75" s="438">
        <v>13</v>
      </c>
      <c r="E75" s="436"/>
    </row>
    <row r="76" spans="1:11" s="387" customFormat="1" x14ac:dyDescent="0.2">
      <c r="A76" s="427"/>
      <c r="B76" s="428"/>
      <c r="C76" s="439" t="s">
        <v>306</v>
      </c>
      <c r="E76" s="440"/>
      <c r="F76" s="431">
        <v>13</v>
      </c>
    </row>
    <row r="77" spans="1:11" s="387" customFormat="1" x14ac:dyDescent="0.2">
      <c r="A77" s="425"/>
      <c r="B77" s="454" t="s">
        <v>147</v>
      </c>
      <c r="C77" s="442">
        <v>0</v>
      </c>
      <c r="D77" s="428"/>
    </row>
    <row r="78" spans="1:11" s="387" customFormat="1" x14ac:dyDescent="0.2">
      <c r="F78" s="387" t="s">
        <v>305</v>
      </c>
      <c r="I78" s="441">
        <v>7</v>
      </c>
      <c r="J78" s="435"/>
      <c r="K78" s="435"/>
    </row>
    <row r="79" spans="1:11" s="387" customFormat="1" ht="13.5" thickBot="1" x14ac:dyDescent="0.25">
      <c r="F79" s="428"/>
      <c r="G79" s="428"/>
      <c r="H79" s="434"/>
      <c r="I79" s="446"/>
      <c r="J79" s="446" t="s">
        <v>311</v>
      </c>
      <c r="K79" s="446"/>
    </row>
    <row r="80" spans="1:11" s="387" customFormat="1" x14ac:dyDescent="0.2">
      <c r="F80" s="430" t="s">
        <v>311</v>
      </c>
      <c r="G80" s="430"/>
      <c r="H80" s="440"/>
      <c r="I80" s="431">
        <v>13</v>
      </c>
      <c r="J80" s="447" t="s">
        <v>156</v>
      </c>
      <c r="K80" s="435"/>
    </row>
    <row r="81" spans="3:11" s="387" customFormat="1" x14ac:dyDescent="0.2">
      <c r="J81" s="435"/>
      <c r="K81" s="435"/>
    </row>
    <row r="82" spans="3:11" s="387" customFormat="1" ht="13.5" thickBot="1" x14ac:dyDescent="0.25">
      <c r="G82" s="435"/>
      <c r="H82" s="435"/>
      <c r="J82" s="446" t="s">
        <v>305</v>
      </c>
      <c r="K82" s="446"/>
    </row>
    <row r="83" spans="3:11" s="387" customFormat="1" x14ac:dyDescent="0.2">
      <c r="C83" s="387" t="s">
        <v>309</v>
      </c>
      <c r="F83" s="426"/>
      <c r="J83" s="448" t="s">
        <v>157</v>
      </c>
    </row>
    <row r="84" spans="3:11" s="387" customFormat="1" x14ac:dyDescent="0.2">
      <c r="C84" s="428"/>
      <c r="D84" s="428"/>
      <c r="E84" s="434"/>
      <c r="F84" s="429" t="s">
        <v>309</v>
      </c>
      <c r="G84" s="430"/>
      <c r="H84" s="430"/>
      <c r="I84" s="426"/>
    </row>
    <row r="85" spans="3:11" s="387" customFormat="1" x14ac:dyDescent="0.2">
      <c r="C85" s="454" t="s">
        <v>147</v>
      </c>
      <c r="D85" s="430"/>
      <c r="E85" s="440"/>
      <c r="F85" s="449"/>
      <c r="H85" s="436"/>
    </row>
    <row r="86" spans="3:11" s="387" customFormat="1" ht="13.5" thickBot="1" x14ac:dyDescent="0.25">
      <c r="F86" s="435"/>
      <c r="H86" s="436"/>
      <c r="J86" s="387" t="s">
        <v>309</v>
      </c>
    </row>
    <row r="87" spans="3:11" s="387" customFormat="1" x14ac:dyDescent="0.2">
      <c r="C87" s="454" t="s">
        <v>147</v>
      </c>
      <c r="F87" s="441"/>
      <c r="H87" s="436"/>
      <c r="I87" s="443"/>
      <c r="J87" s="444" t="s">
        <v>158</v>
      </c>
      <c r="K87" s="445"/>
    </row>
    <row r="88" spans="3:11" s="387" customFormat="1" x14ac:dyDescent="0.2">
      <c r="C88" s="428"/>
      <c r="D88" s="428"/>
      <c r="E88" s="434"/>
      <c r="F88" s="459" t="s">
        <v>147</v>
      </c>
      <c r="H88" s="440"/>
      <c r="I88" s="441"/>
    </row>
    <row r="89" spans="3:11" s="387" customFormat="1" ht="13.5" thickBot="1" x14ac:dyDescent="0.25">
      <c r="C89" s="454" t="s">
        <v>147</v>
      </c>
      <c r="D89" s="430"/>
      <c r="E89" s="440"/>
      <c r="F89" s="442"/>
      <c r="G89" s="428"/>
      <c r="I89" s="435"/>
      <c r="J89" s="435"/>
      <c r="K89" s="446"/>
    </row>
    <row r="90" spans="3:11" s="387" customFormat="1" x14ac:dyDescent="0.2">
      <c r="I90" s="435"/>
      <c r="J90" s="444"/>
      <c r="K90" s="435"/>
    </row>
    <row r="91" spans="3:11" s="387" customFormat="1" x14ac:dyDescent="0.2">
      <c r="F91" s="460" t="s">
        <v>147</v>
      </c>
      <c r="I91" s="441"/>
      <c r="J91" s="435"/>
      <c r="K91" s="435"/>
    </row>
    <row r="92" spans="3:11" s="387" customFormat="1" ht="13.5" thickBot="1" x14ac:dyDescent="0.25">
      <c r="F92" s="428"/>
      <c r="G92" s="428"/>
      <c r="H92" s="434"/>
      <c r="I92" s="446"/>
      <c r="J92" s="446"/>
      <c r="K92" s="446"/>
    </row>
    <row r="93" spans="3:11" s="387" customFormat="1" x14ac:dyDescent="0.2">
      <c r="F93" s="461" t="s">
        <v>147</v>
      </c>
      <c r="G93" s="430"/>
      <c r="H93" s="440"/>
      <c r="I93" s="426"/>
      <c r="J93" s="447"/>
      <c r="K93" s="435"/>
    </row>
    <row r="94" spans="3:11" s="387" customFormat="1" x14ac:dyDescent="0.2">
      <c r="J94" s="435"/>
      <c r="K94" s="435"/>
    </row>
    <row r="95" spans="3:11" s="387" customFormat="1" ht="13.5" thickBot="1" x14ac:dyDescent="0.25">
      <c r="G95" s="435"/>
      <c r="H95" s="435"/>
      <c r="J95" s="446"/>
      <c r="K95" s="446"/>
    </row>
    <row r="96" spans="3:11" s="387" customFormat="1" x14ac:dyDescent="0.2">
      <c r="G96" s="435"/>
      <c r="H96" s="435"/>
      <c r="J96" s="448"/>
    </row>
    <row r="97" spans="1:2" s="31" customFormat="1" x14ac:dyDescent="0.2"/>
    <row r="98" spans="1:2" x14ac:dyDescent="0.2">
      <c r="A98" s="30">
        <v>1</v>
      </c>
      <c r="B98" s="32" t="s">
        <v>310</v>
      </c>
    </row>
    <row r="99" spans="1:2" x14ac:dyDescent="0.2">
      <c r="A99" s="30">
        <v>2</v>
      </c>
      <c r="B99" s="202" t="s">
        <v>298</v>
      </c>
    </row>
    <row r="100" spans="1:2" x14ac:dyDescent="0.2">
      <c r="A100" s="30">
        <v>3</v>
      </c>
      <c r="B100" s="203" t="s">
        <v>302</v>
      </c>
    </row>
    <row r="101" spans="1:2" x14ac:dyDescent="0.2">
      <c r="A101" s="30">
        <v>4</v>
      </c>
      <c r="B101" s="201" t="s">
        <v>307</v>
      </c>
    </row>
    <row r="102" spans="1:2" x14ac:dyDescent="0.2">
      <c r="A102" s="30">
        <v>5</v>
      </c>
      <c r="B102" s="201" t="s">
        <v>308</v>
      </c>
    </row>
    <row r="103" spans="1:2" x14ac:dyDescent="0.2">
      <c r="A103" s="30">
        <v>6</v>
      </c>
      <c r="B103" s="201" t="s">
        <v>300</v>
      </c>
    </row>
    <row r="104" spans="1:2" x14ac:dyDescent="0.2">
      <c r="A104" s="30">
        <v>7</v>
      </c>
      <c r="B104" s="456" t="s">
        <v>311</v>
      </c>
    </row>
    <row r="105" spans="1:2" x14ac:dyDescent="0.2">
      <c r="A105" s="30">
        <v>8</v>
      </c>
      <c r="B105" s="201" t="s">
        <v>306</v>
      </c>
    </row>
    <row r="106" spans="1:2" x14ac:dyDescent="0.2">
      <c r="A106" s="30">
        <v>9</v>
      </c>
      <c r="B106" s="201" t="s">
        <v>301</v>
      </c>
    </row>
    <row r="107" spans="1:2" x14ac:dyDescent="0.2">
      <c r="A107" s="30">
        <v>10</v>
      </c>
      <c r="B107" s="201" t="s">
        <v>305</v>
      </c>
    </row>
    <row r="108" spans="1:2" x14ac:dyDescent="0.2">
      <c r="A108" s="30">
        <v>11</v>
      </c>
      <c r="B108" s="201" t="s">
        <v>309</v>
      </c>
    </row>
  </sheetData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3" manualBreakCount="3">
    <brk id="22" max="16383" man="1"/>
    <brk id="59" max="16383" man="1"/>
    <brk id="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87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L1" sqref="L1"/>
    </sheetView>
  </sheetViews>
  <sheetFormatPr defaultRowHeight="12.75" x14ac:dyDescent="0.2"/>
  <cols>
    <col min="1" max="1" width="3.28515625" style="9" customWidth="1"/>
    <col min="2" max="2" width="18.7109375" style="9" bestFit="1" customWidth="1"/>
    <col min="3" max="3" width="7.28515625" style="9" bestFit="1" customWidth="1"/>
    <col min="4" max="4" width="7.42578125" style="9" bestFit="1" customWidth="1"/>
    <col min="5" max="5" width="9.140625" style="9"/>
    <col min="6" max="6" width="6.7109375" style="9" bestFit="1" customWidth="1"/>
    <col min="7" max="7" width="5.140625" style="9" bestFit="1" customWidth="1"/>
    <col min="8" max="8" width="9.140625" style="9"/>
    <col min="9" max="9" width="7" style="9" customWidth="1"/>
    <col min="10" max="10" width="18.7109375" style="9" bestFit="1" customWidth="1"/>
    <col min="11" max="11" width="7.28515625" style="9" bestFit="1" customWidth="1"/>
    <col min="12" max="12" width="7.42578125" style="9" bestFit="1" customWidth="1"/>
    <col min="13" max="13" width="9.140625" style="9"/>
    <col min="14" max="14" width="6.7109375" style="9" bestFit="1" customWidth="1"/>
    <col min="15" max="15" width="5.140625" style="9" bestFit="1" customWidth="1"/>
    <col min="16" max="16384" width="9.140625" style="9"/>
  </cols>
  <sheetData>
    <row r="1" spans="1:15" x14ac:dyDescent="0.2">
      <c r="A1" s="11" t="str">
        <f>UPPER((Kalend!E12)&amp;" - "&amp;(Kalend!C12)&amp;" - "&amp;(Kalend!D12))</f>
        <v>3 - K-JÄRVE 15. KV 3. ETAPP - ÜKSIK</v>
      </c>
      <c r="H1" s="297" t="str">
        <f>HYPERLINK("#Kalend!I1","Kalender")</f>
        <v>Kalender</v>
      </c>
      <c r="I1" s="478"/>
      <c r="J1" s="297" t="str">
        <f>HYPERLINK("#Reit!K1","Reiting")</f>
        <v>Reiting</v>
      </c>
      <c r="K1" s="478"/>
      <c r="L1" s="478"/>
    </row>
    <row r="2" spans="1:15" x14ac:dyDescent="0.2">
      <c r="A2" s="9" t="str">
        <f>"Toimumisaeg: "&amp;(Kalend!A12)&amp;" kell "&amp;(Kalend!B12)</f>
        <v>Toimumisaeg: N, 26.05.2016 kell 18:00</v>
      </c>
    </row>
    <row r="3" spans="1:15" x14ac:dyDescent="0.2">
      <c r="A3" s="9" t="str">
        <f>"Toimumiskoht: "&amp;(Kalend!F12)</f>
        <v>Toimumiskoht: K-Järve spordihoone</v>
      </c>
    </row>
    <row r="4" spans="1:15" x14ac:dyDescent="0.2">
      <c r="A4" s="9" t="str">
        <f>"Korraldaja: "&amp;(Kalend!G12)</f>
        <v>Korraldaja: K-Järve SHK, Ivar Viljaste</v>
      </c>
    </row>
    <row r="5" spans="1:15" s="105" customFormat="1" x14ac:dyDescent="0.2"/>
    <row r="6" spans="1:15" s="474" customFormat="1" x14ac:dyDescent="0.2">
      <c r="A6" s="556" t="s">
        <v>271</v>
      </c>
      <c r="B6" s="556"/>
      <c r="C6" s="334" t="s">
        <v>272</v>
      </c>
      <c r="D6" s="334" t="s">
        <v>273</v>
      </c>
      <c r="E6" s="334" t="s">
        <v>274</v>
      </c>
      <c r="F6" s="334" t="s">
        <v>275</v>
      </c>
      <c r="G6" s="334" t="s">
        <v>86</v>
      </c>
      <c r="I6" s="556" t="s">
        <v>366</v>
      </c>
      <c r="J6" s="556"/>
      <c r="K6" s="334" t="s">
        <v>272</v>
      </c>
      <c r="L6" s="334" t="s">
        <v>273</v>
      </c>
      <c r="M6" s="334" t="s">
        <v>274</v>
      </c>
      <c r="N6" s="334" t="s">
        <v>275</v>
      </c>
      <c r="O6" s="334" t="s">
        <v>86</v>
      </c>
    </row>
    <row r="7" spans="1:15" s="474" customFormat="1" x14ac:dyDescent="0.2">
      <c r="A7" s="556">
        <v>1</v>
      </c>
      <c r="B7" s="467" t="s">
        <v>44</v>
      </c>
      <c r="C7" s="557">
        <v>13</v>
      </c>
      <c r="D7" s="470">
        <v>13</v>
      </c>
      <c r="E7" s="557"/>
      <c r="F7" s="557"/>
      <c r="G7" s="597" t="s">
        <v>259</v>
      </c>
      <c r="I7" s="556">
        <v>1</v>
      </c>
      <c r="J7" s="558" t="s">
        <v>45</v>
      </c>
      <c r="K7" s="557">
        <v>13</v>
      </c>
      <c r="L7" s="557">
        <v>13</v>
      </c>
      <c r="M7" s="557"/>
      <c r="N7" s="557"/>
      <c r="O7" s="597" t="s">
        <v>259</v>
      </c>
    </row>
    <row r="8" spans="1:15" s="474" customFormat="1" x14ac:dyDescent="0.2">
      <c r="A8" s="556">
        <v>2</v>
      </c>
      <c r="B8" s="467" t="s">
        <v>56</v>
      </c>
      <c r="C8" s="557">
        <v>13</v>
      </c>
      <c r="D8" s="557">
        <v>12</v>
      </c>
      <c r="E8" s="557"/>
      <c r="F8" s="557">
        <v>8</v>
      </c>
      <c r="G8" s="597" t="s">
        <v>260</v>
      </c>
      <c r="I8" s="556">
        <v>2</v>
      </c>
      <c r="J8" s="467" t="s">
        <v>65</v>
      </c>
      <c r="K8" s="557">
        <v>13</v>
      </c>
      <c r="L8" s="557">
        <v>5</v>
      </c>
      <c r="M8" s="557"/>
      <c r="N8" s="557">
        <v>11</v>
      </c>
      <c r="O8" s="597" t="s">
        <v>260</v>
      </c>
    </row>
    <row r="9" spans="1:15" s="474" customFormat="1" x14ac:dyDescent="0.2">
      <c r="A9" s="556">
        <v>3</v>
      </c>
      <c r="B9" s="467" t="s">
        <v>63</v>
      </c>
      <c r="C9" s="557">
        <v>11</v>
      </c>
      <c r="D9" s="557"/>
      <c r="E9" s="557">
        <v>13</v>
      </c>
      <c r="F9" s="557">
        <v>13</v>
      </c>
      <c r="G9" s="597" t="s">
        <v>146</v>
      </c>
      <c r="I9" s="556">
        <v>3</v>
      </c>
      <c r="J9" s="467" t="s">
        <v>392</v>
      </c>
      <c r="K9" s="557">
        <v>10</v>
      </c>
      <c r="L9" s="557"/>
      <c r="M9" s="557">
        <v>13</v>
      </c>
      <c r="N9" s="557">
        <v>13</v>
      </c>
      <c r="O9" s="597" t="s">
        <v>146</v>
      </c>
    </row>
    <row r="10" spans="1:15" s="474" customFormat="1" x14ac:dyDescent="0.2">
      <c r="A10" s="556">
        <v>4</v>
      </c>
      <c r="B10" s="559"/>
      <c r="C10" s="557">
        <v>0</v>
      </c>
      <c r="D10" s="557"/>
      <c r="E10" s="557">
        <v>0</v>
      </c>
      <c r="F10" s="557"/>
      <c r="G10" s="377"/>
      <c r="I10" s="556">
        <v>4</v>
      </c>
      <c r="J10" s="559"/>
      <c r="K10" s="557">
        <v>0</v>
      </c>
      <c r="L10" s="557"/>
      <c r="M10" s="557">
        <v>0</v>
      </c>
      <c r="N10" s="557"/>
      <c r="O10" s="377"/>
    </row>
    <row r="11" spans="1:15" s="474" customFormat="1" x14ac:dyDescent="0.2">
      <c r="A11" s="471"/>
      <c r="B11" s="560"/>
      <c r="C11" s="472"/>
      <c r="D11" s="472"/>
      <c r="E11" s="472"/>
      <c r="F11" s="473"/>
      <c r="G11" s="340"/>
      <c r="I11" s="471"/>
      <c r="J11" s="560"/>
      <c r="K11" s="472"/>
      <c r="L11" s="472"/>
      <c r="M11" s="472"/>
      <c r="N11" s="473"/>
      <c r="O11" s="340"/>
    </row>
    <row r="12" spans="1:15" s="474" customFormat="1" x14ac:dyDescent="0.2">
      <c r="A12" s="556" t="s">
        <v>276</v>
      </c>
      <c r="B12" s="556"/>
      <c r="C12" s="334" t="s">
        <v>272</v>
      </c>
      <c r="D12" s="334" t="s">
        <v>273</v>
      </c>
      <c r="E12" s="334" t="s">
        <v>274</v>
      </c>
      <c r="F12" s="334" t="s">
        <v>275</v>
      </c>
      <c r="G12" s="334" t="s">
        <v>86</v>
      </c>
      <c r="I12" s="556" t="s">
        <v>367</v>
      </c>
      <c r="J12" s="556"/>
      <c r="K12" s="334" t="s">
        <v>272</v>
      </c>
      <c r="L12" s="334" t="s">
        <v>273</v>
      </c>
      <c r="M12" s="334" t="s">
        <v>274</v>
      </c>
      <c r="N12" s="334" t="s">
        <v>275</v>
      </c>
      <c r="O12" s="334" t="s">
        <v>86</v>
      </c>
    </row>
    <row r="13" spans="1:15" s="474" customFormat="1" x14ac:dyDescent="0.2">
      <c r="A13" s="556">
        <v>1</v>
      </c>
      <c r="B13" s="467" t="s">
        <v>55</v>
      </c>
      <c r="C13" s="557">
        <v>13</v>
      </c>
      <c r="D13" s="557">
        <v>9</v>
      </c>
      <c r="E13" s="557"/>
      <c r="F13" s="557">
        <v>10</v>
      </c>
      <c r="G13" s="597" t="s">
        <v>260</v>
      </c>
      <c r="I13" s="556">
        <v>1</v>
      </c>
      <c r="J13" s="467" t="s">
        <v>43</v>
      </c>
      <c r="K13" s="557">
        <v>13</v>
      </c>
      <c r="L13" s="557">
        <v>10</v>
      </c>
      <c r="M13" s="557"/>
      <c r="N13" s="557">
        <v>13</v>
      </c>
      <c r="O13" s="486" t="s">
        <v>146</v>
      </c>
    </row>
    <row r="14" spans="1:15" s="474" customFormat="1" x14ac:dyDescent="0.2">
      <c r="A14" s="556">
        <v>2</v>
      </c>
      <c r="B14" s="467" t="s">
        <v>64</v>
      </c>
      <c r="C14" s="557">
        <v>13</v>
      </c>
      <c r="D14" s="557">
        <v>13</v>
      </c>
      <c r="E14" s="557"/>
      <c r="F14" s="557"/>
      <c r="G14" s="597" t="s">
        <v>259</v>
      </c>
      <c r="I14" s="556">
        <v>2</v>
      </c>
      <c r="J14" s="561" t="s">
        <v>51</v>
      </c>
      <c r="K14" s="557">
        <v>12</v>
      </c>
      <c r="L14" s="557"/>
      <c r="M14" s="557">
        <v>13</v>
      </c>
      <c r="N14" s="557">
        <v>5</v>
      </c>
      <c r="O14" s="486" t="s">
        <v>260</v>
      </c>
    </row>
    <row r="15" spans="1:15" s="474" customFormat="1" x14ac:dyDescent="0.2">
      <c r="A15" s="556">
        <v>3</v>
      </c>
      <c r="B15" s="467" t="s">
        <v>339</v>
      </c>
      <c r="C15" s="557">
        <v>11</v>
      </c>
      <c r="D15" s="557"/>
      <c r="E15" s="557">
        <v>13</v>
      </c>
      <c r="F15" s="557">
        <v>13</v>
      </c>
      <c r="G15" s="597" t="s">
        <v>146</v>
      </c>
      <c r="I15" s="556">
        <v>3</v>
      </c>
      <c r="J15" s="467" t="s">
        <v>49</v>
      </c>
      <c r="K15" s="557">
        <v>13</v>
      </c>
      <c r="L15" s="557">
        <v>13</v>
      </c>
      <c r="M15" s="557"/>
      <c r="N15" s="557"/>
      <c r="O15" s="597" t="s">
        <v>259</v>
      </c>
    </row>
    <row r="16" spans="1:15" s="474" customFormat="1" x14ac:dyDescent="0.2">
      <c r="A16" s="556">
        <v>4</v>
      </c>
      <c r="B16" s="559" t="s">
        <v>391</v>
      </c>
      <c r="C16" s="557">
        <v>3</v>
      </c>
      <c r="D16" s="557"/>
      <c r="E16" s="557">
        <v>2</v>
      </c>
      <c r="F16" s="557"/>
      <c r="G16" s="597" t="s">
        <v>261</v>
      </c>
      <c r="I16" s="556">
        <v>4</v>
      </c>
      <c r="J16" s="559"/>
      <c r="K16" s="557">
        <v>0</v>
      </c>
      <c r="L16" s="557"/>
      <c r="M16" s="557">
        <v>0</v>
      </c>
      <c r="N16" s="557"/>
      <c r="O16" s="377"/>
    </row>
    <row r="17" spans="1:15" s="474" customFormat="1" x14ac:dyDescent="0.2">
      <c r="A17" s="471"/>
      <c r="B17" s="560"/>
      <c r="C17" s="472"/>
      <c r="D17" s="472"/>
      <c r="E17" s="472"/>
      <c r="F17" s="473"/>
      <c r="G17" s="340"/>
    </row>
    <row r="18" spans="1:15" s="474" customFormat="1" x14ac:dyDescent="0.2">
      <c r="A18" s="556" t="s">
        <v>299</v>
      </c>
      <c r="B18" s="556"/>
      <c r="C18" s="334" t="s">
        <v>272</v>
      </c>
      <c r="D18" s="334" t="s">
        <v>273</v>
      </c>
      <c r="E18" s="334" t="s">
        <v>274</v>
      </c>
      <c r="F18" s="334" t="s">
        <v>275</v>
      </c>
      <c r="G18" s="334" t="s">
        <v>86</v>
      </c>
      <c r="I18" s="556" t="s">
        <v>368</v>
      </c>
      <c r="J18" s="556"/>
      <c r="K18" s="334" t="s">
        <v>272</v>
      </c>
      <c r="L18" s="334" t="s">
        <v>273</v>
      </c>
      <c r="M18" s="334" t="s">
        <v>274</v>
      </c>
      <c r="N18" s="334" t="s">
        <v>275</v>
      </c>
      <c r="O18" s="334" t="s">
        <v>86</v>
      </c>
    </row>
    <row r="19" spans="1:15" s="474" customFormat="1" x14ac:dyDescent="0.2">
      <c r="A19" s="556">
        <v>1</v>
      </c>
      <c r="B19" s="558" t="s">
        <v>48</v>
      </c>
      <c r="C19" s="557">
        <v>13</v>
      </c>
      <c r="D19" s="557">
        <v>13</v>
      </c>
      <c r="E19" s="557"/>
      <c r="F19" s="557"/>
      <c r="G19" s="597" t="s">
        <v>259</v>
      </c>
      <c r="I19" s="556">
        <v>1</v>
      </c>
      <c r="J19" s="467" t="s">
        <v>46</v>
      </c>
      <c r="K19" s="557">
        <v>13</v>
      </c>
      <c r="L19" s="557">
        <v>2</v>
      </c>
      <c r="M19" s="557"/>
      <c r="N19" s="557">
        <v>13</v>
      </c>
      <c r="O19" s="597" t="s">
        <v>146</v>
      </c>
    </row>
    <row r="20" spans="1:15" s="474" customFormat="1" x14ac:dyDescent="0.2">
      <c r="A20" s="556">
        <v>2</v>
      </c>
      <c r="B20" s="467" t="s">
        <v>54</v>
      </c>
      <c r="C20" s="557">
        <v>6</v>
      </c>
      <c r="D20" s="557"/>
      <c r="E20" s="557">
        <v>13</v>
      </c>
      <c r="F20" s="557">
        <v>7</v>
      </c>
      <c r="G20" s="597" t="s">
        <v>260</v>
      </c>
      <c r="I20" s="556">
        <v>2</v>
      </c>
      <c r="J20" s="562" t="s">
        <v>59</v>
      </c>
      <c r="K20" s="557">
        <v>13</v>
      </c>
      <c r="L20" s="557">
        <v>13</v>
      </c>
      <c r="M20" s="557"/>
      <c r="N20" s="557"/>
      <c r="O20" s="597" t="s">
        <v>259</v>
      </c>
    </row>
    <row r="21" spans="1:15" s="474" customFormat="1" x14ac:dyDescent="0.2">
      <c r="A21" s="556">
        <v>3</v>
      </c>
      <c r="B21" s="467" t="s">
        <v>60</v>
      </c>
      <c r="C21" s="557">
        <v>13</v>
      </c>
      <c r="D21" s="557">
        <v>9</v>
      </c>
      <c r="E21" s="557"/>
      <c r="F21" s="557">
        <v>13</v>
      </c>
      <c r="G21" s="597" t="s">
        <v>146</v>
      </c>
      <c r="I21" s="556">
        <v>3</v>
      </c>
      <c r="J21" s="467" t="s">
        <v>69</v>
      </c>
      <c r="K21" s="557">
        <v>9</v>
      </c>
      <c r="L21" s="557"/>
      <c r="M21" s="557">
        <v>13</v>
      </c>
      <c r="N21" s="557">
        <v>7</v>
      </c>
      <c r="O21" s="597" t="s">
        <v>260</v>
      </c>
    </row>
    <row r="22" spans="1:15" s="474" customFormat="1" x14ac:dyDescent="0.2">
      <c r="A22" s="556">
        <v>4</v>
      </c>
      <c r="B22" s="559"/>
      <c r="C22" s="557">
        <v>0</v>
      </c>
      <c r="D22" s="557"/>
      <c r="E22" s="557">
        <v>0</v>
      </c>
      <c r="F22" s="557"/>
      <c r="G22" s="377"/>
      <c r="I22" s="556">
        <v>4</v>
      </c>
      <c r="J22" s="467"/>
      <c r="K22" s="557">
        <v>0</v>
      </c>
      <c r="L22" s="557"/>
      <c r="M22" s="557">
        <v>0</v>
      </c>
      <c r="N22" s="557"/>
      <c r="O22" s="377"/>
    </row>
    <row r="23" spans="1:15" s="474" customFormat="1" x14ac:dyDescent="0.2">
      <c r="I23" s="471"/>
      <c r="J23" s="560"/>
      <c r="K23" s="472"/>
      <c r="L23" s="472"/>
      <c r="M23" s="472"/>
      <c r="N23" s="473"/>
      <c r="O23" s="340"/>
    </row>
    <row r="24" spans="1:15" s="474" customFormat="1" x14ac:dyDescent="0.2">
      <c r="A24" s="556" t="s">
        <v>369</v>
      </c>
      <c r="B24" s="556"/>
      <c r="C24" s="334" t="s">
        <v>272</v>
      </c>
      <c r="D24" s="334" t="s">
        <v>273</v>
      </c>
      <c r="E24" s="334" t="s">
        <v>274</v>
      </c>
      <c r="F24" s="334" t="s">
        <v>275</v>
      </c>
      <c r="G24" s="334" t="s">
        <v>86</v>
      </c>
      <c r="I24" s="556" t="s">
        <v>370</v>
      </c>
      <c r="J24" s="556"/>
      <c r="K24" s="334" t="s">
        <v>272</v>
      </c>
      <c r="L24" s="334" t="s">
        <v>273</v>
      </c>
      <c r="M24" s="334" t="s">
        <v>274</v>
      </c>
      <c r="N24" s="334" t="s">
        <v>275</v>
      </c>
      <c r="O24" s="334" t="s">
        <v>86</v>
      </c>
    </row>
    <row r="25" spans="1:15" s="474" customFormat="1" x14ac:dyDescent="0.2">
      <c r="A25" s="556">
        <v>1</v>
      </c>
      <c r="B25" s="562" t="s">
        <v>47</v>
      </c>
      <c r="C25" s="557">
        <v>13</v>
      </c>
      <c r="D25" s="557">
        <v>9</v>
      </c>
      <c r="E25" s="557"/>
      <c r="F25" s="557">
        <v>6</v>
      </c>
      <c r="G25" s="597" t="s">
        <v>260</v>
      </c>
      <c r="I25" s="556">
        <v>1</v>
      </c>
      <c r="J25" s="558" t="s">
        <v>50</v>
      </c>
      <c r="K25" s="557">
        <v>13</v>
      </c>
      <c r="L25" s="557">
        <v>13</v>
      </c>
      <c r="M25" s="557"/>
      <c r="N25" s="557"/>
      <c r="O25" s="597" t="s">
        <v>259</v>
      </c>
    </row>
    <row r="26" spans="1:15" s="474" customFormat="1" x14ac:dyDescent="0.2">
      <c r="A26" s="556">
        <v>2</v>
      </c>
      <c r="B26" s="467" t="s">
        <v>58</v>
      </c>
      <c r="C26" s="557">
        <v>13</v>
      </c>
      <c r="D26" s="557">
        <v>13</v>
      </c>
      <c r="E26" s="557"/>
      <c r="F26" s="557"/>
      <c r="G26" s="486" t="s">
        <v>259</v>
      </c>
      <c r="I26" s="556">
        <v>2</v>
      </c>
      <c r="J26" s="558" t="s">
        <v>67</v>
      </c>
      <c r="K26" s="557">
        <v>13</v>
      </c>
      <c r="L26" s="557">
        <v>9</v>
      </c>
      <c r="M26" s="557"/>
      <c r="N26" s="557">
        <v>1</v>
      </c>
      <c r="O26" s="597" t="s">
        <v>260</v>
      </c>
    </row>
    <row r="27" spans="1:15" s="474" customFormat="1" x14ac:dyDescent="0.2">
      <c r="A27" s="556">
        <v>3</v>
      </c>
      <c r="B27" s="561" t="s">
        <v>81</v>
      </c>
      <c r="C27" s="557">
        <v>12</v>
      </c>
      <c r="D27" s="557"/>
      <c r="E27" s="557">
        <v>13</v>
      </c>
      <c r="F27" s="557">
        <v>13</v>
      </c>
      <c r="G27" s="486" t="s">
        <v>146</v>
      </c>
      <c r="I27" s="556">
        <v>3</v>
      </c>
      <c r="J27" s="558" t="s">
        <v>72</v>
      </c>
      <c r="K27" s="557">
        <v>11</v>
      </c>
      <c r="L27" s="557"/>
      <c r="M27" s="557">
        <v>13</v>
      </c>
      <c r="N27" s="557">
        <v>13</v>
      </c>
      <c r="O27" s="597" t="s">
        <v>146</v>
      </c>
    </row>
    <row r="28" spans="1:15" s="474" customFormat="1" x14ac:dyDescent="0.2">
      <c r="A28" s="556">
        <v>4</v>
      </c>
      <c r="B28" s="559"/>
      <c r="C28" s="557">
        <v>0</v>
      </c>
      <c r="D28" s="557"/>
      <c r="E28" s="557">
        <v>0</v>
      </c>
      <c r="F28" s="557"/>
      <c r="G28" s="377"/>
      <c r="I28" s="556">
        <v>4</v>
      </c>
      <c r="J28" s="559"/>
      <c r="K28" s="557">
        <v>0</v>
      </c>
      <c r="L28" s="557"/>
      <c r="M28" s="557">
        <v>0</v>
      </c>
      <c r="N28" s="557"/>
      <c r="O28" s="377"/>
    </row>
    <row r="29" spans="1:15" s="105" customFormat="1" x14ac:dyDescent="0.2"/>
    <row r="30" spans="1:15" s="105" customFormat="1" x14ac:dyDescent="0.2">
      <c r="A30" s="563" t="s">
        <v>278</v>
      </c>
      <c r="B30" s="564"/>
      <c r="C30" s="472"/>
      <c r="D30" s="472"/>
      <c r="E30" s="472"/>
      <c r="F30" s="473"/>
      <c r="G30" s="340"/>
    </row>
    <row r="31" spans="1:15" s="105" customFormat="1" x14ac:dyDescent="0.2"/>
    <row r="32" spans="1:15" s="105" customFormat="1" x14ac:dyDescent="0.2">
      <c r="A32" s="565" t="s">
        <v>375</v>
      </c>
      <c r="B32" s="105" t="s">
        <v>45</v>
      </c>
      <c r="C32" s="566">
        <v>13</v>
      </c>
    </row>
    <row r="33" spans="1:13" s="105" customFormat="1" x14ac:dyDescent="0.2">
      <c r="A33" s="567"/>
      <c r="B33" s="568"/>
      <c r="C33" s="569" t="s">
        <v>45</v>
      </c>
      <c r="D33" s="570"/>
      <c r="F33" s="566">
        <v>13</v>
      </c>
    </row>
    <row r="34" spans="1:13" s="105" customFormat="1" x14ac:dyDescent="0.2">
      <c r="A34" s="567" t="s">
        <v>371</v>
      </c>
      <c r="B34" s="570" t="s">
        <v>72</v>
      </c>
      <c r="C34" s="571">
        <v>10</v>
      </c>
      <c r="E34" s="572"/>
    </row>
    <row r="35" spans="1:13" s="105" customFormat="1" x14ac:dyDescent="0.2">
      <c r="A35" s="567"/>
      <c r="D35" s="564"/>
      <c r="E35" s="573"/>
      <c r="F35" s="574" t="s">
        <v>45</v>
      </c>
      <c r="I35" s="566">
        <v>4</v>
      </c>
    </row>
    <row r="36" spans="1:13" s="105" customFormat="1" x14ac:dyDescent="0.2">
      <c r="A36" s="567" t="s">
        <v>246</v>
      </c>
      <c r="B36" s="105" t="s">
        <v>64</v>
      </c>
      <c r="C36" s="575">
        <v>13</v>
      </c>
      <c r="E36" s="573"/>
      <c r="F36" s="576"/>
      <c r="G36" s="568"/>
      <c r="H36" s="572"/>
    </row>
    <row r="37" spans="1:13" s="105" customFormat="1" x14ac:dyDescent="0.2">
      <c r="A37" s="567"/>
      <c r="B37" s="568"/>
      <c r="C37" s="574" t="s">
        <v>64</v>
      </c>
      <c r="E37" s="577"/>
      <c r="F37" s="575">
        <v>7</v>
      </c>
      <c r="G37" s="564"/>
      <c r="H37" s="573"/>
    </row>
    <row r="38" spans="1:13" s="105" customFormat="1" x14ac:dyDescent="0.2">
      <c r="A38" s="567" t="s">
        <v>252</v>
      </c>
      <c r="B38" s="570" t="s">
        <v>63</v>
      </c>
      <c r="C38" s="578">
        <v>6</v>
      </c>
      <c r="D38" s="568"/>
      <c r="F38" s="564"/>
      <c r="G38" s="564"/>
      <c r="H38" s="573"/>
    </row>
    <row r="39" spans="1:13" s="105" customFormat="1" x14ac:dyDescent="0.2">
      <c r="A39" s="579"/>
      <c r="F39" s="564"/>
      <c r="G39" s="564"/>
      <c r="H39" s="573"/>
      <c r="I39" s="574" t="s">
        <v>43</v>
      </c>
      <c r="K39" s="566">
        <v>13</v>
      </c>
    </row>
    <row r="40" spans="1:13" s="105" customFormat="1" x14ac:dyDescent="0.2">
      <c r="A40" s="565" t="s">
        <v>248</v>
      </c>
      <c r="B40" s="105" t="s">
        <v>58</v>
      </c>
      <c r="C40" s="566">
        <v>12</v>
      </c>
      <c r="F40" s="564"/>
      <c r="G40" s="564"/>
      <c r="H40" s="573"/>
      <c r="I40" s="568"/>
      <c r="J40" s="572"/>
    </row>
    <row r="41" spans="1:13" s="105" customFormat="1" x14ac:dyDescent="0.2">
      <c r="A41" s="567"/>
      <c r="B41" s="568"/>
      <c r="C41" s="569" t="s">
        <v>46</v>
      </c>
      <c r="D41" s="570"/>
      <c r="F41" s="575">
        <v>8</v>
      </c>
      <c r="G41" s="564"/>
      <c r="H41" s="573"/>
      <c r="I41" s="564"/>
      <c r="J41" s="573"/>
    </row>
    <row r="42" spans="1:13" s="105" customFormat="1" x14ac:dyDescent="0.2">
      <c r="A42" s="567" t="s">
        <v>372</v>
      </c>
      <c r="B42" s="570" t="s">
        <v>46</v>
      </c>
      <c r="C42" s="571">
        <v>13</v>
      </c>
      <c r="E42" s="572"/>
      <c r="F42" s="564"/>
      <c r="G42" s="564"/>
      <c r="H42" s="573"/>
      <c r="I42" s="564"/>
      <c r="J42" s="573"/>
    </row>
    <row r="43" spans="1:13" s="105" customFormat="1" x14ac:dyDescent="0.2">
      <c r="A43" s="567"/>
      <c r="D43" s="564"/>
      <c r="E43" s="573"/>
      <c r="F43" s="570" t="s">
        <v>43</v>
      </c>
      <c r="G43" s="570"/>
      <c r="H43" s="577"/>
      <c r="I43" s="575">
        <v>13</v>
      </c>
      <c r="J43" s="573"/>
    </row>
    <row r="44" spans="1:13" s="105" customFormat="1" x14ac:dyDescent="0.2">
      <c r="A44" s="567" t="s">
        <v>249</v>
      </c>
      <c r="B44" s="105" t="s">
        <v>48</v>
      </c>
      <c r="C44" s="575">
        <v>2</v>
      </c>
      <c r="E44" s="573"/>
      <c r="F44" s="574"/>
      <c r="G44" s="564"/>
      <c r="H44" s="564"/>
      <c r="I44" s="564"/>
      <c r="J44" s="573"/>
    </row>
    <row r="45" spans="1:13" s="105" customFormat="1" x14ac:dyDescent="0.2">
      <c r="A45" s="567"/>
      <c r="B45" s="568"/>
      <c r="C45" s="574" t="s">
        <v>43</v>
      </c>
      <c r="E45" s="577"/>
      <c r="F45" s="575">
        <v>13</v>
      </c>
      <c r="I45" s="564"/>
      <c r="J45" s="573"/>
    </row>
    <row r="46" spans="1:13" s="105" customFormat="1" x14ac:dyDescent="0.2">
      <c r="A46" s="567" t="s">
        <v>373</v>
      </c>
      <c r="B46" s="570" t="s">
        <v>43</v>
      </c>
      <c r="C46" s="578">
        <v>13</v>
      </c>
      <c r="D46" s="568"/>
      <c r="F46" s="564"/>
      <c r="G46" s="564"/>
      <c r="H46" s="564"/>
      <c r="I46" s="564"/>
      <c r="J46" s="573"/>
    </row>
    <row r="47" spans="1:13" s="105" customFormat="1" ht="13.5" thickBot="1" x14ac:dyDescent="0.25">
      <c r="I47" s="564"/>
      <c r="J47" s="573"/>
      <c r="L47" s="105" t="s">
        <v>43</v>
      </c>
    </row>
    <row r="48" spans="1:13" s="105" customFormat="1" x14ac:dyDescent="0.2">
      <c r="A48" s="565" t="s">
        <v>378</v>
      </c>
      <c r="B48" s="105" t="s">
        <v>50</v>
      </c>
      <c r="C48" s="566">
        <v>12</v>
      </c>
      <c r="I48" s="564"/>
      <c r="J48" s="573"/>
      <c r="K48" s="580"/>
      <c r="L48" s="581" t="s">
        <v>148</v>
      </c>
      <c r="M48" s="582"/>
    </row>
    <row r="49" spans="1:13" s="105" customFormat="1" x14ac:dyDescent="0.2">
      <c r="A49" s="567"/>
      <c r="B49" s="568"/>
      <c r="C49" s="569" t="s">
        <v>60</v>
      </c>
      <c r="D49" s="570"/>
      <c r="F49" s="566">
        <v>11</v>
      </c>
      <c r="I49" s="564"/>
      <c r="J49" s="573"/>
    </row>
    <row r="50" spans="1:13" s="105" customFormat="1" x14ac:dyDescent="0.2">
      <c r="A50" s="567" t="s">
        <v>254</v>
      </c>
      <c r="B50" s="570" t="s">
        <v>60</v>
      </c>
      <c r="C50" s="571">
        <v>13</v>
      </c>
      <c r="E50" s="572"/>
      <c r="I50" s="564"/>
      <c r="J50" s="573"/>
    </row>
    <row r="51" spans="1:13" s="105" customFormat="1" x14ac:dyDescent="0.2">
      <c r="A51" s="567"/>
      <c r="D51" s="564"/>
      <c r="E51" s="573"/>
      <c r="F51" s="105" t="s">
        <v>44</v>
      </c>
      <c r="I51" s="575">
        <v>13</v>
      </c>
      <c r="J51" s="573"/>
    </row>
    <row r="52" spans="1:13" s="105" customFormat="1" x14ac:dyDescent="0.2">
      <c r="A52" s="567" t="s">
        <v>247</v>
      </c>
      <c r="B52" s="105" t="s">
        <v>44</v>
      </c>
      <c r="C52" s="575">
        <v>13</v>
      </c>
      <c r="E52" s="573"/>
      <c r="F52" s="576"/>
      <c r="G52" s="568"/>
      <c r="H52" s="572"/>
      <c r="I52" s="564"/>
      <c r="J52" s="573"/>
    </row>
    <row r="53" spans="1:13" s="105" customFormat="1" x14ac:dyDescent="0.2">
      <c r="A53" s="567"/>
      <c r="B53" s="568"/>
      <c r="C53" s="574" t="s">
        <v>44</v>
      </c>
      <c r="E53" s="577"/>
      <c r="F53" s="575">
        <v>13</v>
      </c>
      <c r="G53" s="564"/>
      <c r="H53" s="573"/>
      <c r="I53" s="564"/>
      <c r="J53" s="573"/>
    </row>
    <row r="54" spans="1:13" s="105" customFormat="1" x14ac:dyDescent="0.2">
      <c r="A54" s="567" t="s">
        <v>253</v>
      </c>
      <c r="B54" s="570" t="s">
        <v>81</v>
      </c>
      <c r="C54" s="578">
        <v>5</v>
      </c>
      <c r="D54" s="568"/>
      <c r="F54" s="564"/>
      <c r="G54" s="564"/>
      <c r="H54" s="573"/>
      <c r="I54" s="564"/>
      <c r="J54" s="573"/>
    </row>
    <row r="55" spans="1:13" s="105" customFormat="1" x14ac:dyDescent="0.2">
      <c r="F55" s="564"/>
      <c r="G55" s="564"/>
      <c r="H55" s="573"/>
      <c r="I55" s="570" t="s">
        <v>44</v>
      </c>
      <c r="J55" s="577"/>
      <c r="K55" s="566">
        <v>6</v>
      </c>
    </row>
    <row r="56" spans="1:13" s="105" customFormat="1" ht="13.5" thickBot="1" x14ac:dyDescent="0.25">
      <c r="A56" s="565" t="s">
        <v>376</v>
      </c>
      <c r="B56" s="105" t="s">
        <v>49</v>
      </c>
      <c r="C56" s="566">
        <v>13</v>
      </c>
      <c r="F56" s="564"/>
      <c r="G56" s="564"/>
      <c r="H56" s="573"/>
      <c r="L56" s="564" t="s">
        <v>44</v>
      </c>
      <c r="M56" s="583"/>
    </row>
    <row r="57" spans="1:13" s="105" customFormat="1" x14ac:dyDescent="0.2">
      <c r="A57" s="567"/>
      <c r="B57" s="568"/>
      <c r="C57" s="569" t="s">
        <v>49</v>
      </c>
      <c r="D57" s="570"/>
      <c r="F57" s="575">
        <v>13</v>
      </c>
      <c r="G57" s="564"/>
      <c r="H57" s="573"/>
      <c r="L57" s="581" t="s">
        <v>149</v>
      </c>
      <c r="M57" s="564"/>
    </row>
    <row r="58" spans="1:13" s="105" customFormat="1" x14ac:dyDescent="0.2">
      <c r="A58" s="567" t="s">
        <v>251</v>
      </c>
      <c r="B58" s="570" t="s">
        <v>339</v>
      </c>
      <c r="C58" s="571">
        <v>12</v>
      </c>
      <c r="E58" s="572"/>
      <c r="F58" s="564"/>
      <c r="G58" s="564"/>
      <c r="H58" s="573"/>
    </row>
    <row r="59" spans="1:13" s="105" customFormat="1" x14ac:dyDescent="0.2">
      <c r="A59" s="567"/>
      <c r="D59" s="564"/>
      <c r="E59" s="573"/>
      <c r="F59" s="570" t="s">
        <v>49</v>
      </c>
      <c r="G59" s="570"/>
      <c r="H59" s="577"/>
      <c r="I59" s="566">
        <v>9</v>
      </c>
    </row>
    <row r="60" spans="1:13" s="105" customFormat="1" x14ac:dyDescent="0.2">
      <c r="A60" s="567" t="s">
        <v>377</v>
      </c>
      <c r="B60" s="105" t="s">
        <v>59</v>
      </c>
      <c r="C60" s="575">
        <v>3</v>
      </c>
      <c r="E60" s="573"/>
      <c r="F60" s="574"/>
      <c r="G60" s="564"/>
      <c r="H60" s="564"/>
    </row>
    <row r="61" spans="1:13" s="105" customFormat="1" x14ac:dyDescent="0.2">
      <c r="A61" s="567"/>
      <c r="B61" s="568"/>
      <c r="C61" s="574" t="s">
        <v>392</v>
      </c>
      <c r="E61" s="577"/>
      <c r="F61" s="575">
        <v>11</v>
      </c>
      <c r="I61" s="105" t="s">
        <v>45</v>
      </c>
      <c r="K61" s="575">
        <v>12</v>
      </c>
    </row>
    <row r="62" spans="1:13" s="105" customFormat="1" ht="13.5" thickBot="1" x14ac:dyDescent="0.25">
      <c r="A62" s="567" t="s">
        <v>374</v>
      </c>
      <c r="B62" s="570" t="s">
        <v>392</v>
      </c>
      <c r="C62" s="578">
        <v>13</v>
      </c>
      <c r="D62" s="568"/>
      <c r="F62" s="564"/>
      <c r="G62" s="564"/>
      <c r="H62" s="564"/>
      <c r="I62" s="568"/>
      <c r="J62" s="572"/>
      <c r="K62" s="583"/>
      <c r="L62" s="583" t="s">
        <v>49</v>
      </c>
      <c r="M62" s="583"/>
    </row>
    <row r="63" spans="1:13" s="105" customFormat="1" x14ac:dyDescent="0.2">
      <c r="H63" s="564"/>
      <c r="I63" s="570" t="s">
        <v>49</v>
      </c>
      <c r="J63" s="577"/>
      <c r="K63" s="566">
        <v>13</v>
      </c>
      <c r="L63" s="584" t="s">
        <v>150</v>
      </c>
      <c r="M63" s="564"/>
    </row>
    <row r="64" spans="1:13" s="105" customFormat="1" x14ac:dyDescent="0.2">
      <c r="H64" s="564"/>
      <c r="L64" s="564"/>
      <c r="M64" s="564"/>
    </row>
    <row r="65" spans="1:13" s="105" customFormat="1" ht="13.5" thickBot="1" x14ac:dyDescent="0.25">
      <c r="H65" s="564"/>
      <c r="I65" s="564"/>
      <c r="J65" s="564"/>
      <c r="L65" s="583" t="s">
        <v>45</v>
      </c>
      <c r="M65" s="583"/>
    </row>
    <row r="66" spans="1:13" s="105" customFormat="1" x14ac:dyDescent="0.2">
      <c r="I66" s="564"/>
      <c r="J66" s="564"/>
      <c r="L66" s="579" t="s">
        <v>151</v>
      </c>
    </row>
    <row r="67" spans="1:13" s="105" customFormat="1" x14ac:dyDescent="0.2">
      <c r="I67" s="564"/>
      <c r="J67" s="564"/>
      <c r="L67" s="579"/>
    </row>
    <row r="68" spans="1:13" s="105" customFormat="1" x14ac:dyDescent="0.2">
      <c r="A68" s="585" t="s">
        <v>279</v>
      </c>
      <c r="I68" s="564"/>
      <c r="J68" s="564"/>
      <c r="L68" s="579"/>
    </row>
    <row r="69" spans="1:13" s="105" customFormat="1" x14ac:dyDescent="0.2">
      <c r="A69" s="585"/>
      <c r="I69" s="564"/>
      <c r="J69" s="564"/>
      <c r="L69" s="579"/>
    </row>
    <row r="70" spans="1:13" s="105" customFormat="1" x14ac:dyDescent="0.2">
      <c r="F70" s="586" t="s">
        <v>64</v>
      </c>
      <c r="G70" s="566"/>
      <c r="H70" s="566"/>
      <c r="I70" s="566">
        <v>13</v>
      </c>
      <c r="J70" s="566"/>
      <c r="K70" s="566"/>
    </row>
    <row r="71" spans="1:13" s="105" customFormat="1" x14ac:dyDescent="0.2">
      <c r="F71" s="587"/>
      <c r="G71" s="587"/>
      <c r="H71" s="588"/>
      <c r="I71" s="589" t="s">
        <v>64</v>
      </c>
      <c r="J71" s="566"/>
      <c r="K71" s="566">
        <v>13</v>
      </c>
    </row>
    <row r="72" spans="1:13" s="105" customFormat="1" x14ac:dyDescent="0.2">
      <c r="F72" s="589" t="s">
        <v>46</v>
      </c>
      <c r="G72" s="589"/>
      <c r="H72" s="590"/>
      <c r="I72" s="566">
        <v>4</v>
      </c>
      <c r="J72" s="588"/>
      <c r="K72" s="566"/>
    </row>
    <row r="73" spans="1:13" s="105" customFormat="1" ht="13.5" thickBot="1" x14ac:dyDescent="0.25">
      <c r="F73" s="566"/>
      <c r="G73" s="566"/>
      <c r="H73" s="566"/>
      <c r="I73" s="575"/>
      <c r="J73" s="591"/>
      <c r="K73" s="566"/>
      <c r="L73" s="105" t="s">
        <v>64</v>
      </c>
    </row>
    <row r="74" spans="1:13" s="105" customFormat="1" x14ac:dyDescent="0.2">
      <c r="F74" s="566" t="s">
        <v>60</v>
      </c>
      <c r="G74" s="566"/>
      <c r="H74" s="566"/>
      <c r="I74" s="566">
        <v>13</v>
      </c>
      <c r="J74" s="591"/>
      <c r="K74" s="592"/>
      <c r="L74" s="581" t="s">
        <v>152</v>
      </c>
      <c r="M74" s="582"/>
    </row>
    <row r="75" spans="1:13" s="105" customFormat="1" x14ac:dyDescent="0.2">
      <c r="F75" s="587"/>
      <c r="G75" s="587"/>
      <c r="H75" s="588"/>
      <c r="I75" s="566" t="s">
        <v>60</v>
      </c>
      <c r="J75" s="590"/>
      <c r="K75" s="575">
        <v>10</v>
      </c>
    </row>
    <row r="76" spans="1:13" s="105" customFormat="1" ht="13.5" thickBot="1" x14ac:dyDescent="0.25">
      <c r="F76" s="589" t="s">
        <v>392</v>
      </c>
      <c r="G76" s="589"/>
      <c r="H76" s="590"/>
      <c r="I76" s="587">
        <v>6</v>
      </c>
      <c r="J76" s="566"/>
      <c r="K76" s="575"/>
      <c r="L76" s="564" t="s">
        <v>60</v>
      </c>
      <c r="M76" s="583"/>
    </row>
    <row r="77" spans="1:13" s="105" customFormat="1" x14ac:dyDescent="0.2">
      <c r="F77" s="566"/>
      <c r="G77" s="566"/>
      <c r="H77" s="566"/>
      <c r="I77" s="566"/>
      <c r="J77" s="566"/>
      <c r="K77" s="575"/>
      <c r="L77" s="581" t="s">
        <v>153</v>
      </c>
      <c r="M77" s="564"/>
    </row>
    <row r="78" spans="1:13" s="105" customFormat="1" x14ac:dyDescent="0.2">
      <c r="F78" s="566"/>
      <c r="G78" s="566"/>
      <c r="H78" s="575"/>
      <c r="I78" s="566" t="s">
        <v>46</v>
      </c>
      <c r="J78" s="566"/>
      <c r="K78" s="575">
        <v>13</v>
      </c>
      <c r="L78" s="564"/>
      <c r="M78" s="564"/>
    </row>
    <row r="79" spans="1:13" s="105" customFormat="1" ht="13.5" thickBot="1" x14ac:dyDescent="0.25">
      <c r="F79" s="566"/>
      <c r="G79" s="566"/>
      <c r="H79" s="575"/>
      <c r="I79" s="587"/>
      <c r="J79" s="588"/>
      <c r="K79" s="593"/>
      <c r="L79" s="583" t="s">
        <v>46</v>
      </c>
      <c r="M79" s="583"/>
    </row>
    <row r="80" spans="1:13" s="105" customFormat="1" x14ac:dyDescent="0.2">
      <c r="F80" s="566"/>
      <c r="G80" s="566"/>
      <c r="H80" s="575"/>
      <c r="I80" s="589" t="s">
        <v>392</v>
      </c>
      <c r="J80" s="590"/>
      <c r="K80" s="566">
        <v>9</v>
      </c>
      <c r="L80" s="584" t="s">
        <v>154</v>
      </c>
      <c r="M80" s="564"/>
    </row>
    <row r="81" spans="1:13" s="105" customFormat="1" x14ac:dyDescent="0.2">
      <c r="H81" s="564"/>
      <c r="L81" s="564"/>
      <c r="M81" s="564"/>
    </row>
    <row r="82" spans="1:13" s="105" customFormat="1" ht="13.5" thickBot="1" x14ac:dyDescent="0.25">
      <c r="F82" s="579"/>
      <c r="I82" s="564"/>
      <c r="J82" s="564"/>
      <c r="L82" s="583" t="s">
        <v>392</v>
      </c>
      <c r="M82" s="583"/>
    </row>
    <row r="83" spans="1:13" s="105" customFormat="1" x14ac:dyDescent="0.2">
      <c r="F83" s="579"/>
      <c r="I83" s="564"/>
      <c r="J83" s="564"/>
      <c r="L83" s="584" t="s">
        <v>155</v>
      </c>
    </row>
    <row r="84" spans="1:13" s="105" customFormat="1" x14ac:dyDescent="0.2">
      <c r="F84" s="579"/>
      <c r="I84" s="564"/>
      <c r="J84" s="564"/>
      <c r="L84" s="584"/>
    </row>
    <row r="85" spans="1:13" s="105" customFormat="1" x14ac:dyDescent="0.2">
      <c r="A85" s="594" t="s">
        <v>250</v>
      </c>
    </row>
    <row r="86" spans="1:13" s="105" customFormat="1" x14ac:dyDescent="0.2">
      <c r="A86" s="595"/>
    </row>
    <row r="87" spans="1:13" s="105" customFormat="1" x14ac:dyDescent="0.2">
      <c r="B87" s="564"/>
      <c r="C87" s="570" t="s">
        <v>72</v>
      </c>
      <c r="D87" s="564"/>
      <c r="F87" s="566">
        <v>13</v>
      </c>
    </row>
    <row r="88" spans="1:13" s="105" customFormat="1" x14ac:dyDescent="0.2">
      <c r="B88" s="564"/>
      <c r="C88" s="568"/>
      <c r="D88" s="568"/>
      <c r="E88" s="572"/>
      <c r="F88" s="574" t="s">
        <v>72</v>
      </c>
      <c r="I88" s="566">
        <v>13</v>
      </c>
    </row>
    <row r="89" spans="1:13" s="105" customFormat="1" x14ac:dyDescent="0.2">
      <c r="B89" s="564"/>
      <c r="C89" s="570" t="s">
        <v>63</v>
      </c>
      <c r="D89" s="570"/>
      <c r="E89" s="577"/>
      <c r="F89" s="587">
        <v>2</v>
      </c>
      <c r="G89" s="568"/>
      <c r="H89" s="572"/>
    </row>
    <row r="90" spans="1:13" s="105" customFormat="1" x14ac:dyDescent="0.2">
      <c r="B90" s="564"/>
      <c r="F90" s="564"/>
      <c r="G90" s="564"/>
      <c r="H90" s="573"/>
      <c r="I90" s="574" t="s">
        <v>72</v>
      </c>
      <c r="K90" s="566">
        <v>0</v>
      </c>
    </row>
    <row r="91" spans="1:13" s="105" customFormat="1" x14ac:dyDescent="0.2">
      <c r="B91" s="564"/>
      <c r="C91" s="570" t="s">
        <v>58</v>
      </c>
      <c r="D91" s="570"/>
      <c r="F91" s="575">
        <v>13</v>
      </c>
      <c r="G91" s="564"/>
      <c r="H91" s="573"/>
      <c r="I91" s="576"/>
      <c r="J91" s="572"/>
    </row>
    <row r="92" spans="1:13" s="105" customFormat="1" x14ac:dyDescent="0.2">
      <c r="B92" s="564"/>
      <c r="D92" s="564"/>
      <c r="E92" s="572"/>
      <c r="F92" s="570" t="s">
        <v>58</v>
      </c>
      <c r="G92" s="570"/>
      <c r="H92" s="577"/>
      <c r="I92" s="575">
        <v>6</v>
      </c>
      <c r="J92" s="573"/>
    </row>
    <row r="93" spans="1:13" s="105" customFormat="1" x14ac:dyDescent="0.2">
      <c r="B93" s="564"/>
      <c r="C93" s="600" t="s">
        <v>48</v>
      </c>
      <c r="E93" s="577"/>
      <c r="F93" s="575">
        <v>6</v>
      </c>
      <c r="I93" s="564"/>
      <c r="J93" s="573"/>
    </row>
    <row r="94" spans="1:13" s="105" customFormat="1" ht="13.5" thickBot="1" x14ac:dyDescent="0.25">
      <c r="B94" s="564"/>
      <c r="C94" s="587"/>
      <c r="D94" s="568"/>
      <c r="F94" s="564"/>
      <c r="G94" s="564"/>
      <c r="H94" s="564"/>
      <c r="I94" s="564"/>
      <c r="J94" s="573"/>
      <c r="L94" s="105" t="s">
        <v>59</v>
      </c>
    </row>
    <row r="95" spans="1:13" s="105" customFormat="1" x14ac:dyDescent="0.2">
      <c r="B95" s="564"/>
      <c r="C95" s="564" t="s">
        <v>50</v>
      </c>
      <c r="D95" s="564"/>
      <c r="F95" s="566">
        <v>13</v>
      </c>
      <c r="J95" s="573"/>
      <c r="K95" s="582"/>
      <c r="L95" s="581" t="s">
        <v>156</v>
      </c>
      <c r="M95" s="582"/>
    </row>
    <row r="96" spans="1:13" s="105" customFormat="1" x14ac:dyDescent="0.2">
      <c r="B96" s="564"/>
      <c r="C96" s="568"/>
      <c r="D96" s="568"/>
      <c r="E96" s="572"/>
      <c r="F96" s="574" t="s">
        <v>50</v>
      </c>
      <c r="I96" s="566">
        <v>1</v>
      </c>
      <c r="J96" s="573"/>
    </row>
    <row r="97" spans="2:13" s="105" customFormat="1" ht="13.5" thickBot="1" x14ac:dyDescent="0.25">
      <c r="B97" s="564"/>
      <c r="C97" s="570" t="s">
        <v>81</v>
      </c>
      <c r="D97" s="570"/>
      <c r="E97" s="577"/>
      <c r="F97" s="587">
        <v>12</v>
      </c>
      <c r="G97" s="568"/>
      <c r="H97" s="572"/>
      <c r="J97" s="573"/>
      <c r="L97" s="564" t="s">
        <v>72</v>
      </c>
      <c r="M97" s="583"/>
    </row>
    <row r="98" spans="2:13" s="105" customFormat="1" x14ac:dyDescent="0.2">
      <c r="B98" s="564"/>
      <c r="F98" s="564"/>
      <c r="G98" s="564"/>
      <c r="H98" s="573"/>
      <c r="I98" s="603" t="s">
        <v>59</v>
      </c>
      <c r="J98" s="577"/>
      <c r="K98" s="566">
        <v>13</v>
      </c>
      <c r="L98" s="581" t="s">
        <v>157</v>
      </c>
      <c r="M98" s="564"/>
    </row>
    <row r="99" spans="2:13" s="105" customFormat="1" x14ac:dyDescent="0.2">
      <c r="B99" s="564"/>
      <c r="C99" s="570" t="s">
        <v>339</v>
      </c>
      <c r="D99" s="570"/>
      <c r="F99" s="575">
        <v>8</v>
      </c>
      <c r="G99" s="564"/>
      <c r="H99" s="573"/>
      <c r="I99" s="576"/>
      <c r="J99" s="568"/>
    </row>
    <row r="100" spans="2:13" s="105" customFormat="1" x14ac:dyDescent="0.2">
      <c r="B100" s="564"/>
      <c r="D100" s="564"/>
      <c r="E100" s="572"/>
      <c r="F100" s="570" t="s">
        <v>59</v>
      </c>
      <c r="G100" s="570"/>
      <c r="H100" s="577"/>
      <c r="I100" s="575">
        <v>13</v>
      </c>
      <c r="J100" s="564"/>
    </row>
    <row r="101" spans="2:13" s="105" customFormat="1" x14ac:dyDescent="0.2">
      <c r="B101" s="564"/>
      <c r="C101" s="564" t="s">
        <v>59</v>
      </c>
      <c r="E101" s="577"/>
      <c r="F101" s="575">
        <v>13</v>
      </c>
      <c r="I101" s="564"/>
      <c r="J101" s="564"/>
    </row>
    <row r="102" spans="2:13" s="105" customFormat="1" x14ac:dyDescent="0.2">
      <c r="B102" s="564"/>
      <c r="C102" s="587"/>
      <c r="D102" s="568"/>
      <c r="F102" s="564"/>
      <c r="G102" s="564"/>
      <c r="H102" s="564"/>
      <c r="I102" s="105" t="s">
        <v>58</v>
      </c>
      <c r="K102" s="575">
        <v>0</v>
      </c>
    </row>
    <row r="103" spans="2:13" s="105" customFormat="1" ht="13.5" thickBot="1" x14ac:dyDescent="0.25">
      <c r="B103" s="564"/>
      <c r="F103" s="564"/>
      <c r="G103" s="564"/>
      <c r="H103" s="564"/>
      <c r="I103" s="568"/>
      <c r="J103" s="572"/>
      <c r="K103" s="583"/>
      <c r="L103" s="583" t="s">
        <v>50</v>
      </c>
      <c r="M103" s="583"/>
    </row>
    <row r="104" spans="2:13" s="105" customFormat="1" x14ac:dyDescent="0.2">
      <c r="B104" s="564"/>
      <c r="C104" s="566"/>
      <c r="F104" s="564"/>
      <c r="G104" s="564"/>
      <c r="H104" s="564"/>
      <c r="I104" s="570" t="s">
        <v>50</v>
      </c>
      <c r="J104" s="577"/>
      <c r="K104" s="566">
        <v>13</v>
      </c>
      <c r="L104" s="584" t="s">
        <v>158</v>
      </c>
      <c r="M104" s="564"/>
    </row>
    <row r="105" spans="2:13" s="105" customFormat="1" x14ac:dyDescent="0.2">
      <c r="B105" s="564"/>
      <c r="C105" s="564"/>
      <c r="D105" s="564"/>
      <c r="E105" s="564"/>
      <c r="F105" s="575"/>
      <c r="G105" s="564"/>
      <c r="H105" s="564"/>
      <c r="L105" s="564"/>
      <c r="M105" s="564"/>
    </row>
    <row r="106" spans="2:13" s="105" customFormat="1" ht="13.5" thickBot="1" x14ac:dyDescent="0.25">
      <c r="B106" s="564"/>
      <c r="C106" s="575"/>
      <c r="D106" s="564"/>
      <c r="E106" s="564"/>
      <c r="F106" s="564"/>
      <c r="G106" s="564"/>
      <c r="H106" s="564"/>
      <c r="I106" s="564"/>
      <c r="J106" s="564"/>
      <c r="L106" s="583" t="s">
        <v>58</v>
      </c>
      <c r="M106" s="583"/>
    </row>
    <row r="107" spans="2:13" s="105" customFormat="1" x14ac:dyDescent="0.2">
      <c r="B107" s="564"/>
      <c r="C107" s="564"/>
      <c r="D107" s="564"/>
      <c r="E107" s="564"/>
      <c r="F107" s="564"/>
      <c r="G107" s="564"/>
      <c r="H107" s="564"/>
      <c r="I107" s="564"/>
      <c r="J107" s="564"/>
      <c r="L107" s="579" t="s">
        <v>159</v>
      </c>
    </row>
    <row r="108" spans="2:13" s="105" customFormat="1" x14ac:dyDescent="0.2">
      <c r="B108" s="564"/>
      <c r="C108" s="564"/>
      <c r="D108" s="564"/>
      <c r="E108" s="564"/>
      <c r="F108" s="564"/>
      <c r="G108" s="564"/>
      <c r="H108" s="564"/>
      <c r="I108" s="564"/>
      <c r="J108" s="564"/>
      <c r="L108" s="579"/>
    </row>
    <row r="109" spans="2:13" s="105" customFormat="1" x14ac:dyDescent="0.2">
      <c r="B109" s="564"/>
      <c r="C109" s="575"/>
      <c r="D109" s="564"/>
      <c r="E109" s="564"/>
      <c r="F109" s="564" t="s">
        <v>63</v>
      </c>
      <c r="I109" s="566">
        <v>11</v>
      </c>
    </row>
    <row r="110" spans="2:13" s="105" customFormat="1" x14ac:dyDescent="0.2">
      <c r="B110" s="564"/>
      <c r="C110" s="564"/>
      <c r="D110" s="564"/>
      <c r="E110" s="564"/>
      <c r="F110" s="568"/>
      <c r="G110" s="568"/>
      <c r="H110" s="572"/>
      <c r="I110" s="574" t="s">
        <v>48</v>
      </c>
      <c r="K110" s="566">
        <v>0</v>
      </c>
    </row>
    <row r="111" spans="2:13" s="105" customFormat="1" x14ac:dyDescent="0.2">
      <c r="B111" s="564"/>
      <c r="E111" s="564"/>
      <c r="F111" s="570" t="s">
        <v>48</v>
      </c>
      <c r="G111" s="570"/>
      <c r="H111" s="577"/>
      <c r="I111" s="578">
        <v>13</v>
      </c>
      <c r="J111" s="572"/>
    </row>
    <row r="112" spans="2:13" s="105" customFormat="1" ht="13.5" thickBot="1" x14ac:dyDescent="0.25">
      <c r="E112" s="564"/>
      <c r="F112" s="566"/>
      <c r="J112" s="573"/>
      <c r="L112" s="105" t="s">
        <v>339</v>
      </c>
    </row>
    <row r="113" spans="1:13" s="105" customFormat="1" x14ac:dyDescent="0.2">
      <c r="E113" s="564"/>
      <c r="F113" s="564" t="s">
        <v>81</v>
      </c>
      <c r="I113" s="566">
        <v>8</v>
      </c>
      <c r="J113" s="573"/>
      <c r="K113" s="582"/>
      <c r="L113" s="581" t="s">
        <v>160</v>
      </c>
      <c r="M113" s="582"/>
    </row>
    <row r="114" spans="1:13" s="105" customFormat="1" x14ac:dyDescent="0.2">
      <c r="E114" s="564"/>
      <c r="F114" s="568"/>
      <c r="G114" s="568"/>
      <c r="H114" s="572"/>
      <c r="I114" s="574" t="s">
        <v>339</v>
      </c>
      <c r="J114" s="577"/>
      <c r="K114" s="566">
        <v>13</v>
      </c>
    </row>
    <row r="115" spans="1:13" s="105" customFormat="1" ht="13.5" thickBot="1" x14ac:dyDescent="0.25">
      <c r="E115" s="564"/>
      <c r="F115" s="570" t="s">
        <v>339</v>
      </c>
      <c r="G115" s="570"/>
      <c r="H115" s="577"/>
      <c r="I115" s="578">
        <v>13</v>
      </c>
      <c r="J115" s="564"/>
      <c r="L115" s="564" t="s">
        <v>48</v>
      </c>
      <c r="M115" s="583"/>
    </row>
    <row r="116" spans="1:13" s="105" customFormat="1" x14ac:dyDescent="0.2">
      <c r="E116" s="564"/>
      <c r="F116" s="575"/>
      <c r="I116" s="564"/>
      <c r="J116" s="564"/>
      <c r="L116" s="581" t="s">
        <v>161</v>
      </c>
    </row>
    <row r="117" spans="1:13" s="105" customFormat="1" x14ac:dyDescent="0.2">
      <c r="E117" s="564"/>
      <c r="F117" s="564"/>
      <c r="G117" s="564"/>
      <c r="H117" s="564"/>
      <c r="I117" s="105" t="s">
        <v>63</v>
      </c>
      <c r="K117" s="575">
        <v>0</v>
      </c>
    </row>
    <row r="118" spans="1:13" s="105" customFormat="1" ht="13.5" thickBot="1" x14ac:dyDescent="0.25">
      <c r="F118" s="564"/>
      <c r="G118" s="564"/>
      <c r="H118" s="564"/>
      <c r="I118" s="568"/>
      <c r="J118" s="572"/>
      <c r="K118" s="583"/>
      <c r="L118" s="583" t="s">
        <v>81</v>
      </c>
      <c r="M118" s="583"/>
    </row>
    <row r="119" spans="1:13" s="105" customFormat="1" x14ac:dyDescent="0.2">
      <c r="F119" s="564"/>
      <c r="G119" s="564"/>
      <c r="H119" s="564"/>
      <c r="I119" s="570" t="s">
        <v>81</v>
      </c>
      <c r="J119" s="577"/>
      <c r="K119" s="566">
        <v>13</v>
      </c>
      <c r="L119" s="584" t="s">
        <v>162</v>
      </c>
      <c r="M119" s="564"/>
    </row>
    <row r="120" spans="1:13" s="105" customFormat="1" x14ac:dyDescent="0.2">
      <c r="F120" s="575"/>
      <c r="G120" s="564"/>
      <c r="H120" s="564"/>
      <c r="L120" s="564"/>
      <c r="M120" s="564"/>
    </row>
    <row r="121" spans="1:13" s="105" customFormat="1" ht="13.5" thickBot="1" x14ac:dyDescent="0.25">
      <c r="F121" s="564"/>
      <c r="G121" s="564"/>
      <c r="H121" s="564"/>
      <c r="I121" s="564"/>
      <c r="J121" s="564"/>
      <c r="L121" s="583" t="s">
        <v>63</v>
      </c>
      <c r="M121" s="583"/>
    </row>
    <row r="122" spans="1:13" s="105" customFormat="1" x14ac:dyDescent="0.2">
      <c r="F122" s="564"/>
      <c r="G122" s="564"/>
      <c r="H122" s="564"/>
      <c r="I122" s="564"/>
      <c r="J122" s="564"/>
      <c r="L122" s="579" t="s">
        <v>163</v>
      </c>
    </row>
    <row r="123" spans="1:13" s="105" customFormat="1" x14ac:dyDescent="0.2"/>
    <row r="124" spans="1:13" s="105" customFormat="1" x14ac:dyDescent="0.2">
      <c r="A124" s="585" t="s">
        <v>390</v>
      </c>
    </row>
    <row r="125" spans="1:13" s="31" customFormat="1" x14ac:dyDescent="0.2">
      <c r="A125" s="342"/>
      <c r="B125" s="342" t="s">
        <v>264</v>
      </c>
      <c r="C125" s="31" t="s">
        <v>55</v>
      </c>
      <c r="F125" s="343">
        <v>12</v>
      </c>
    </row>
    <row r="126" spans="1:13" s="31" customFormat="1" x14ac:dyDescent="0.2">
      <c r="A126" s="344"/>
      <c r="B126" s="342"/>
      <c r="C126" s="345"/>
      <c r="D126" s="345"/>
      <c r="E126" s="350"/>
      <c r="F126" s="346" t="s">
        <v>69</v>
      </c>
      <c r="G126" s="347"/>
      <c r="I126" s="343">
        <v>8</v>
      </c>
    </row>
    <row r="127" spans="1:13" s="31" customFormat="1" x14ac:dyDescent="0.2">
      <c r="A127" s="342"/>
      <c r="B127" s="342" t="s">
        <v>381</v>
      </c>
      <c r="C127" s="347" t="s">
        <v>69</v>
      </c>
      <c r="D127" s="347"/>
      <c r="E127" s="348"/>
      <c r="F127" s="349">
        <v>13</v>
      </c>
      <c r="H127" s="350"/>
    </row>
    <row r="128" spans="1:13" s="31" customFormat="1" x14ac:dyDescent="0.2">
      <c r="A128" s="344"/>
      <c r="B128" s="342"/>
      <c r="G128" s="351"/>
      <c r="H128" s="352"/>
      <c r="I128" s="31" t="s">
        <v>51</v>
      </c>
      <c r="K128" s="343">
        <v>13</v>
      </c>
    </row>
    <row r="129" spans="1:13" s="31" customFormat="1" x14ac:dyDescent="0.2">
      <c r="A129" s="342"/>
      <c r="B129" s="342" t="s">
        <v>255</v>
      </c>
      <c r="C129" s="31" t="s">
        <v>56</v>
      </c>
      <c r="E129" s="598"/>
      <c r="F129" s="354">
        <v>5</v>
      </c>
      <c r="H129" s="352"/>
      <c r="I129" s="345"/>
      <c r="J129" s="350"/>
    </row>
    <row r="130" spans="1:13" s="31" customFormat="1" x14ac:dyDescent="0.2">
      <c r="A130" s="344"/>
      <c r="B130" s="342"/>
      <c r="C130" s="345"/>
      <c r="D130" s="345"/>
      <c r="E130" s="350"/>
      <c r="F130" s="355" t="s">
        <v>51</v>
      </c>
      <c r="H130" s="356"/>
      <c r="I130" s="354">
        <v>13</v>
      </c>
      <c r="J130" s="352"/>
    </row>
    <row r="131" spans="1:13" s="31" customFormat="1" x14ac:dyDescent="0.2">
      <c r="A131" s="342"/>
      <c r="B131" s="342" t="s">
        <v>380</v>
      </c>
      <c r="C131" s="347" t="s">
        <v>51</v>
      </c>
      <c r="D131" s="347"/>
      <c r="E131" s="348"/>
      <c r="F131" s="357">
        <v>13</v>
      </c>
      <c r="G131" s="345"/>
      <c r="I131" s="351"/>
      <c r="J131" s="352"/>
    </row>
    <row r="132" spans="1:13" s="31" customFormat="1" ht="13.5" thickBot="1" x14ac:dyDescent="0.25">
      <c r="A132" s="344"/>
      <c r="B132" s="342"/>
      <c r="I132" s="351"/>
      <c r="J132" s="352"/>
      <c r="L132" s="31" t="s">
        <v>51</v>
      </c>
    </row>
    <row r="133" spans="1:13" s="31" customFormat="1" x14ac:dyDescent="0.2">
      <c r="A133" s="342"/>
      <c r="B133" s="342" t="s">
        <v>265</v>
      </c>
      <c r="C133" s="31" t="s">
        <v>391</v>
      </c>
      <c r="F133" s="343">
        <v>13</v>
      </c>
      <c r="I133" s="351"/>
      <c r="J133" s="352"/>
      <c r="K133" s="358"/>
      <c r="L133" s="359" t="s">
        <v>164</v>
      </c>
      <c r="M133" s="360"/>
    </row>
    <row r="134" spans="1:13" s="31" customFormat="1" x14ac:dyDescent="0.2">
      <c r="A134" s="344"/>
      <c r="B134" s="342"/>
      <c r="C134" s="345"/>
      <c r="D134" s="345"/>
      <c r="E134" s="350"/>
      <c r="F134" s="346" t="s">
        <v>391</v>
      </c>
      <c r="G134" s="347"/>
      <c r="I134" s="354">
        <v>13</v>
      </c>
      <c r="J134" s="352"/>
    </row>
    <row r="135" spans="1:13" s="31" customFormat="1" ht="13.5" thickBot="1" x14ac:dyDescent="0.25">
      <c r="A135" s="342"/>
      <c r="B135" s="342" t="s">
        <v>382</v>
      </c>
      <c r="C135" s="347" t="s">
        <v>67</v>
      </c>
      <c r="D135" s="347"/>
      <c r="E135" s="356"/>
      <c r="F135" s="349">
        <v>8</v>
      </c>
      <c r="H135" s="350"/>
      <c r="I135" s="351"/>
      <c r="J135" s="352"/>
      <c r="L135" s="361" t="s">
        <v>391</v>
      </c>
      <c r="M135" s="361"/>
    </row>
    <row r="136" spans="1:13" s="31" customFormat="1" x14ac:dyDescent="0.2">
      <c r="A136" s="344"/>
      <c r="B136" s="342"/>
      <c r="G136" s="351"/>
      <c r="H136" s="352"/>
      <c r="I136" s="347" t="s">
        <v>391</v>
      </c>
      <c r="J136" s="356"/>
      <c r="K136" s="343">
        <v>1</v>
      </c>
      <c r="L136" s="359" t="s">
        <v>165</v>
      </c>
    </row>
    <row r="137" spans="1:13" s="31" customFormat="1" x14ac:dyDescent="0.2">
      <c r="A137" s="342"/>
      <c r="B137" s="342" t="s">
        <v>268</v>
      </c>
      <c r="C137" s="31" t="s">
        <v>47</v>
      </c>
      <c r="F137" s="354">
        <v>13</v>
      </c>
      <c r="H137" s="352"/>
    </row>
    <row r="138" spans="1:13" s="31" customFormat="1" x14ac:dyDescent="0.2">
      <c r="A138" s="344"/>
      <c r="B138" s="342"/>
      <c r="C138" s="345"/>
      <c r="D138" s="345"/>
      <c r="E138" s="350"/>
      <c r="F138" s="355" t="s">
        <v>47</v>
      </c>
      <c r="H138" s="356"/>
      <c r="I138" s="343">
        <v>10</v>
      </c>
    </row>
    <row r="139" spans="1:13" s="31" customFormat="1" x14ac:dyDescent="0.2">
      <c r="A139" s="342"/>
      <c r="B139" s="342" t="s">
        <v>379</v>
      </c>
      <c r="C139" s="347" t="s">
        <v>65</v>
      </c>
      <c r="D139" s="347"/>
      <c r="E139" s="356"/>
      <c r="F139" s="357">
        <v>12</v>
      </c>
      <c r="G139" s="345"/>
    </row>
    <row r="140" spans="1:13" s="31" customFormat="1" x14ac:dyDescent="0.2">
      <c r="I140" s="31" t="s">
        <v>69</v>
      </c>
      <c r="K140" s="354">
        <v>12</v>
      </c>
      <c r="L140" s="351"/>
      <c r="M140" s="351"/>
    </row>
    <row r="141" spans="1:13" s="31" customFormat="1" ht="13.5" thickBot="1" x14ac:dyDescent="0.25">
      <c r="I141" s="345"/>
      <c r="J141" s="350"/>
      <c r="K141" s="361"/>
      <c r="L141" s="361" t="s">
        <v>47</v>
      </c>
      <c r="M141" s="361"/>
    </row>
    <row r="142" spans="1:13" s="31" customFormat="1" x14ac:dyDescent="0.2">
      <c r="I142" s="347" t="s">
        <v>47</v>
      </c>
      <c r="J142" s="356"/>
      <c r="K142" s="343">
        <v>13</v>
      </c>
      <c r="L142" s="362" t="s">
        <v>383</v>
      </c>
      <c r="M142" s="351"/>
    </row>
    <row r="143" spans="1:13" s="31" customFormat="1" x14ac:dyDescent="0.2">
      <c r="L143" s="351"/>
      <c r="M143" s="351"/>
    </row>
    <row r="144" spans="1:13" s="31" customFormat="1" ht="13.5" thickBot="1" x14ac:dyDescent="0.25">
      <c r="J144" s="351"/>
      <c r="L144" s="361" t="s">
        <v>69</v>
      </c>
      <c r="M144" s="361"/>
    </row>
    <row r="145" spans="6:14" s="31" customFormat="1" x14ac:dyDescent="0.2">
      <c r="F145" s="31" t="s">
        <v>55</v>
      </c>
      <c r="I145" s="343">
        <v>13</v>
      </c>
      <c r="L145" s="363" t="s">
        <v>384</v>
      </c>
    </row>
    <row r="146" spans="6:14" s="31" customFormat="1" x14ac:dyDescent="0.2">
      <c r="F146" s="345"/>
      <c r="G146" s="345"/>
      <c r="H146" s="350"/>
      <c r="I146" s="346" t="s">
        <v>55</v>
      </c>
      <c r="J146" s="347"/>
      <c r="K146" s="343">
        <v>13</v>
      </c>
    </row>
    <row r="147" spans="6:14" s="31" customFormat="1" x14ac:dyDescent="0.2">
      <c r="F147" s="347" t="s">
        <v>56</v>
      </c>
      <c r="G147" s="347"/>
      <c r="H147" s="356"/>
      <c r="I147" s="349">
        <v>11</v>
      </c>
      <c r="J147" s="352"/>
    </row>
    <row r="148" spans="6:14" s="31" customFormat="1" ht="13.5" thickBot="1" x14ac:dyDescent="0.25">
      <c r="I148" s="351"/>
      <c r="J148" s="352"/>
      <c r="L148" s="31" t="s">
        <v>55</v>
      </c>
    </row>
    <row r="149" spans="6:14" s="31" customFormat="1" x14ac:dyDescent="0.2">
      <c r="F149" s="31" t="s">
        <v>67</v>
      </c>
      <c r="I149" s="354">
        <v>2</v>
      </c>
      <c r="J149" s="352"/>
      <c r="K149" s="358"/>
      <c r="L149" s="359" t="s">
        <v>385</v>
      </c>
      <c r="M149" s="360"/>
    </row>
    <row r="150" spans="6:14" s="31" customFormat="1" x14ac:dyDescent="0.2">
      <c r="F150" s="345"/>
      <c r="G150" s="345"/>
      <c r="H150" s="350"/>
      <c r="I150" s="355" t="s">
        <v>65</v>
      </c>
      <c r="J150" s="356"/>
      <c r="K150" s="354">
        <v>8</v>
      </c>
    </row>
    <row r="151" spans="6:14" s="31" customFormat="1" ht="13.5" thickBot="1" x14ac:dyDescent="0.25">
      <c r="F151" s="347" t="s">
        <v>65</v>
      </c>
      <c r="G151" s="347"/>
      <c r="H151" s="356"/>
      <c r="I151" s="357">
        <v>13</v>
      </c>
      <c r="K151" s="351"/>
      <c r="L151" s="351" t="s">
        <v>65</v>
      </c>
      <c r="M151" s="361"/>
    </row>
    <row r="152" spans="6:14" s="31" customFormat="1" x14ac:dyDescent="0.2">
      <c r="K152" s="351"/>
      <c r="L152" s="359" t="s">
        <v>386</v>
      </c>
      <c r="M152" s="351"/>
    </row>
    <row r="153" spans="6:14" s="31" customFormat="1" x14ac:dyDescent="0.2">
      <c r="I153" s="31" t="s">
        <v>56</v>
      </c>
      <c r="K153" s="354"/>
      <c r="L153" s="351"/>
      <c r="M153" s="351"/>
    </row>
    <row r="154" spans="6:14" s="31" customFormat="1" ht="13.5" thickBot="1" x14ac:dyDescent="0.25">
      <c r="I154" s="345"/>
      <c r="J154" s="350"/>
      <c r="K154" s="361"/>
      <c r="L154" s="361" t="s">
        <v>67</v>
      </c>
      <c r="M154" s="361"/>
    </row>
    <row r="155" spans="6:14" s="31" customFormat="1" x14ac:dyDescent="0.2">
      <c r="I155" s="347" t="s">
        <v>67</v>
      </c>
      <c r="J155" s="356"/>
      <c r="K155" s="343">
        <v>13</v>
      </c>
      <c r="L155" s="362" t="s">
        <v>387</v>
      </c>
      <c r="M155" s="351"/>
    </row>
    <row r="156" spans="6:14" s="31" customFormat="1" x14ac:dyDescent="0.2">
      <c r="L156" s="351"/>
      <c r="M156" s="351"/>
    </row>
    <row r="157" spans="6:14" s="31" customFormat="1" ht="13.5" thickBot="1" x14ac:dyDescent="0.25">
      <c r="J157" s="351"/>
      <c r="L157" s="361" t="s">
        <v>56</v>
      </c>
      <c r="M157" s="361"/>
    </row>
    <row r="158" spans="6:14" s="31" customFormat="1" x14ac:dyDescent="0.2">
      <c r="I158" s="351"/>
      <c r="J158" s="351"/>
      <c r="L158" s="363" t="s">
        <v>388</v>
      </c>
    </row>
    <row r="159" spans="6:14" s="105" customFormat="1" x14ac:dyDescent="0.2">
      <c r="F159" s="564"/>
      <c r="G159" s="564"/>
      <c r="H159" s="564"/>
      <c r="I159" s="564"/>
      <c r="J159" s="564"/>
      <c r="L159" s="579"/>
    </row>
    <row r="160" spans="6:14" s="105" customFormat="1" ht="13.5" thickBot="1" x14ac:dyDescent="0.25">
      <c r="L160" s="602" t="s">
        <v>54</v>
      </c>
      <c r="M160" s="583"/>
      <c r="N160" s="606" t="s">
        <v>393</v>
      </c>
    </row>
    <row r="161" spans="1:12" s="105" customFormat="1" x14ac:dyDescent="0.2">
      <c r="L161" s="579" t="s">
        <v>389</v>
      </c>
    </row>
    <row r="162" spans="1:12" s="245" customFormat="1" x14ac:dyDescent="0.2">
      <c r="F162" s="9"/>
      <c r="G162" s="9"/>
      <c r="H162" s="9"/>
      <c r="I162" s="9"/>
      <c r="J162" s="9"/>
      <c r="K162" s="9"/>
    </row>
    <row r="163" spans="1:12" x14ac:dyDescent="0.2">
      <c r="A163" s="30">
        <v>1</v>
      </c>
      <c r="B163" s="32" t="s">
        <v>43</v>
      </c>
    </row>
    <row r="164" spans="1:12" x14ac:dyDescent="0.2">
      <c r="A164" s="30">
        <v>2</v>
      </c>
      <c r="B164" s="202" t="s">
        <v>44</v>
      </c>
    </row>
    <row r="165" spans="1:12" x14ac:dyDescent="0.2">
      <c r="A165" s="30">
        <v>3</v>
      </c>
      <c r="B165" s="203" t="s">
        <v>49</v>
      </c>
    </row>
    <row r="166" spans="1:12" x14ac:dyDescent="0.2">
      <c r="A166" s="30">
        <v>4</v>
      </c>
      <c r="B166" s="201" t="s">
        <v>45</v>
      </c>
    </row>
    <row r="167" spans="1:12" x14ac:dyDescent="0.2">
      <c r="A167" s="30">
        <v>5</v>
      </c>
      <c r="B167" s="201" t="s">
        <v>64</v>
      </c>
    </row>
    <row r="168" spans="1:12" x14ac:dyDescent="0.2">
      <c r="A168" s="30">
        <v>6</v>
      </c>
      <c r="B168" s="201" t="s">
        <v>60</v>
      </c>
    </row>
    <row r="169" spans="1:12" x14ac:dyDescent="0.2">
      <c r="A169" s="30">
        <v>7</v>
      </c>
      <c r="B169" s="201" t="s">
        <v>46</v>
      </c>
    </row>
    <row r="170" spans="1:12" x14ac:dyDescent="0.2">
      <c r="A170" s="30">
        <v>8</v>
      </c>
      <c r="B170" s="201" t="s">
        <v>392</v>
      </c>
    </row>
    <row r="171" spans="1:12" x14ac:dyDescent="0.2">
      <c r="A171" s="30">
        <v>9</v>
      </c>
      <c r="B171" s="201" t="s">
        <v>59</v>
      </c>
    </row>
    <row r="172" spans="1:12" x14ac:dyDescent="0.2">
      <c r="A172" s="30">
        <v>10</v>
      </c>
      <c r="B172" s="201" t="s">
        <v>72</v>
      </c>
    </row>
    <row r="173" spans="1:12" x14ac:dyDescent="0.2">
      <c r="A173" s="30">
        <v>11</v>
      </c>
      <c r="B173" s="201" t="s">
        <v>50</v>
      </c>
    </row>
    <row r="174" spans="1:12" x14ac:dyDescent="0.2">
      <c r="A174" s="30">
        <v>12</v>
      </c>
      <c r="B174" s="201" t="s">
        <v>58</v>
      </c>
    </row>
    <row r="175" spans="1:12" x14ac:dyDescent="0.2">
      <c r="A175" s="30">
        <v>13</v>
      </c>
      <c r="B175" s="201" t="s">
        <v>339</v>
      </c>
    </row>
    <row r="176" spans="1:12" x14ac:dyDescent="0.2">
      <c r="A176" s="30">
        <v>14</v>
      </c>
      <c r="B176" s="201" t="s">
        <v>48</v>
      </c>
    </row>
    <row r="177" spans="1:2" x14ac:dyDescent="0.2">
      <c r="A177" s="30">
        <v>15</v>
      </c>
      <c r="B177" s="201" t="s">
        <v>81</v>
      </c>
    </row>
    <row r="178" spans="1:2" x14ac:dyDescent="0.2">
      <c r="A178" s="30">
        <v>16</v>
      </c>
      <c r="B178" s="201" t="s">
        <v>63</v>
      </c>
    </row>
    <row r="179" spans="1:2" x14ac:dyDescent="0.2">
      <c r="A179" s="30">
        <v>17</v>
      </c>
      <c r="B179" s="201" t="s">
        <v>51</v>
      </c>
    </row>
    <row r="180" spans="1:2" x14ac:dyDescent="0.2">
      <c r="A180" s="30">
        <v>18</v>
      </c>
      <c r="B180" s="201" t="s">
        <v>391</v>
      </c>
    </row>
    <row r="181" spans="1:2" x14ac:dyDescent="0.2">
      <c r="A181" s="30">
        <v>19</v>
      </c>
      <c r="B181" s="201" t="s">
        <v>47</v>
      </c>
    </row>
    <row r="182" spans="1:2" x14ac:dyDescent="0.2">
      <c r="A182" s="30">
        <v>20</v>
      </c>
      <c r="B182" s="201" t="s">
        <v>69</v>
      </c>
    </row>
    <row r="183" spans="1:2" x14ac:dyDescent="0.2">
      <c r="A183" s="30">
        <v>21</v>
      </c>
      <c r="B183" s="201" t="s">
        <v>55</v>
      </c>
    </row>
    <row r="184" spans="1:2" x14ac:dyDescent="0.2">
      <c r="A184" s="30">
        <v>22</v>
      </c>
      <c r="B184" s="201" t="s">
        <v>65</v>
      </c>
    </row>
    <row r="185" spans="1:2" x14ac:dyDescent="0.2">
      <c r="A185" s="30">
        <v>23</v>
      </c>
      <c r="B185" s="201" t="s">
        <v>67</v>
      </c>
    </row>
    <row r="186" spans="1:2" x14ac:dyDescent="0.2">
      <c r="A186" s="30">
        <v>24</v>
      </c>
      <c r="B186" s="201" t="s">
        <v>56</v>
      </c>
    </row>
    <row r="187" spans="1:2" x14ac:dyDescent="0.2">
      <c r="A187" s="30">
        <v>25</v>
      </c>
      <c r="B187" s="499" t="s">
        <v>54</v>
      </c>
    </row>
  </sheetData>
  <conditionalFormatting sqref="C7:N93 C94:J96 K94:M95 C100:N155 C97:K99 N94:N99 L97:M98">
    <cfRule type="cellIs" dxfId="140" priority="1" stopIfTrue="1" operator="equal">
      <formula>13</formula>
    </cfRule>
  </conditionalFormatting>
  <pageMargins left="0.78740157480314965" right="0.39370078740157483" top="0.59055118110236227" bottom="0.39370078740157483" header="0.39370078740157483" footer="0"/>
  <pageSetup paperSize="9" fitToHeight="0" orientation="landscape" verticalDpi="1200" r:id="rId1"/>
  <headerFooter>
    <oddHeader>&amp;R&amp;"Arial,Regular"&amp;9Page &amp;P of &amp;N</oddHeader>
  </headerFooter>
  <rowBreaks count="5" manualBreakCount="5">
    <brk id="28" max="16383" man="1"/>
    <brk id="66" max="16383" man="1"/>
    <brk id="83" max="16383" man="1"/>
    <brk id="122" max="14" man="1"/>
    <brk id="16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O45"/>
  <sheetViews>
    <sheetView showGridLines="0" showRowColHeaders="0" zoomScaleNormal="100" workbookViewId="0">
      <pane ySplit="6" topLeftCell="A7" activePane="bottomLeft" state="frozen"/>
      <selection activeCell="I1" sqref="I1"/>
      <selection pane="bottomLeft" activeCell="Q1" sqref="Q1"/>
    </sheetView>
  </sheetViews>
  <sheetFormatPr defaultRowHeight="12.75" x14ac:dyDescent="0.2"/>
  <cols>
    <col min="1" max="1" width="3.28515625" style="250" customWidth="1"/>
    <col min="2" max="2" width="4" style="250" customWidth="1"/>
    <col min="3" max="3" width="3.28515625" style="250" customWidth="1"/>
    <col min="4" max="4" width="3.28515625" style="269" customWidth="1"/>
    <col min="5" max="5" width="21.7109375" style="250" bestFit="1" customWidth="1"/>
    <col min="6" max="6" width="4" style="257" bestFit="1" customWidth="1"/>
    <col min="7" max="7" width="4.7109375" style="257" customWidth="1"/>
    <col min="8" max="9" width="7.5703125" style="257" hidden="1" customWidth="1"/>
    <col min="10" max="11" width="5.5703125" style="269" bestFit="1" customWidth="1"/>
    <col min="12" max="12" width="5.5703125" style="269" customWidth="1"/>
    <col min="13" max="15" width="3.28515625" style="250" bestFit="1" customWidth="1"/>
    <col min="16" max="16384" width="9.140625" style="250"/>
  </cols>
  <sheetData>
    <row r="1" spans="1:15" x14ac:dyDescent="0.2">
      <c r="B1" s="246"/>
      <c r="C1" s="246" t="s">
        <v>341</v>
      </c>
      <c r="D1" s="247"/>
      <c r="E1" s="247"/>
      <c r="F1" s="247"/>
      <c r="G1" s="247"/>
      <c r="H1" s="247"/>
      <c r="I1" s="247"/>
      <c r="J1" s="250"/>
      <c r="K1" s="247"/>
      <c r="L1" s="13" t="s">
        <v>616</v>
      </c>
      <c r="M1" s="248"/>
      <c r="N1" s="249" t="s">
        <v>31</v>
      </c>
      <c r="O1" s="249"/>
    </row>
    <row r="2" spans="1:15" x14ac:dyDescent="0.2">
      <c r="B2" s="251"/>
      <c r="C2" s="251" t="s">
        <v>87</v>
      </c>
      <c r="D2" s="247"/>
      <c r="E2" s="247"/>
      <c r="F2" s="247"/>
      <c r="G2" s="247"/>
      <c r="H2" s="247"/>
      <c r="I2" s="247"/>
      <c r="J2" s="247"/>
      <c r="K2" s="247"/>
      <c r="L2" s="247"/>
      <c r="N2" s="252" t="s">
        <v>32</v>
      </c>
      <c r="O2" s="252"/>
    </row>
    <row r="3" spans="1:15" x14ac:dyDescent="0.2">
      <c r="A3" s="247" t="s">
        <v>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N3" s="253" t="s">
        <v>33</v>
      </c>
      <c r="O3" s="253"/>
    </row>
    <row r="4" spans="1:15" ht="31.5" customHeight="1" x14ac:dyDescent="0.2">
      <c r="A4" s="254"/>
      <c r="B4" s="254"/>
      <c r="C4" s="254"/>
      <c r="D4" s="254"/>
      <c r="E4" s="254"/>
      <c r="F4" s="254"/>
      <c r="G4" s="254"/>
      <c r="H4" s="254"/>
      <c r="I4" s="254"/>
      <c r="J4" s="215" t="str">
        <f>MID(Kalend!A7,4,5)</f>
        <v>05.05</v>
      </c>
      <c r="K4" s="215" t="str">
        <f>MID(Kalend!A8,4,5)</f>
        <v>15.05</v>
      </c>
      <c r="L4" s="215" t="str">
        <f>MID(Kalend!A12,4,5)</f>
        <v>26.05</v>
      </c>
      <c r="M4" s="1394" t="s">
        <v>88</v>
      </c>
      <c r="N4" s="1395" t="s">
        <v>34</v>
      </c>
      <c r="O4" s="1396" t="s">
        <v>35</v>
      </c>
    </row>
    <row r="5" spans="1:15" x14ac:dyDescent="0.2">
      <c r="A5" s="1303" t="s">
        <v>424</v>
      </c>
      <c r="B5" s="1299"/>
      <c r="C5" s="1300"/>
      <c r="D5" s="1301"/>
      <c r="E5" s="255"/>
      <c r="F5" s="1303" t="s">
        <v>425</v>
      </c>
      <c r="G5" s="1301"/>
      <c r="H5" s="255"/>
      <c r="I5" s="255"/>
      <c r="J5" s="332" t="str">
        <f>HYPERLINK("#1!G1","  1  ")</f>
        <v xml:space="preserve">  1  </v>
      </c>
      <c r="K5" s="332" t="str">
        <f>HYPERLINK("#2!I1","  2  ")</f>
        <v xml:space="preserve">  2  </v>
      </c>
      <c r="L5" s="332" t="str">
        <f>HYPERLINK("#3!J1","  3  ")</f>
        <v xml:space="preserve">  3  </v>
      </c>
      <c r="M5" s="1394"/>
      <c r="N5" s="1395"/>
      <c r="O5" s="1396"/>
    </row>
    <row r="6" spans="1:15" x14ac:dyDescent="0.2">
      <c r="A6" s="19" t="s">
        <v>123</v>
      </c>
      <c r="B6" s="1302" t="s">
        <v>647</v>
      </c>
      <c r="C6" s="610" t="s">
        <v>36</v>
      </c>
      <c r="D6" s="612" t="s">
        <v>37</v>
      </c>
      <c r="E6" s="256" t="s">
        <v>38</v>
      </c>
      <c r="F6" s="1302" t="s">
        <v>39</v>
      </c>
      <c r="G6" s="38" t="s">
        <v>123</v>
      </c>
      <c r="H6" s="20" t="s">
        <v>126</v>
      </c>
      <c r="I6" s="38" t="s">
        <v>125</v>
      </c>
      <c r="J6" s="1241" t="s">
        <v>40</v>
      </c>
      <c r="K6" s="1241" t="s">
        <v>41</v>
      </c>
      <c r="L6" s="1242" t="s">
        <v>42</v>
      </c>
      <c r="M6" s="258"/>
      <c r="N6" s="259"/>
      <c r="O6" s="248"/>
    </row>
    <row r="7" spans="1:15" x14ac:dyDescent="0.2">
      <c r="A7" s="40">
        <f t="shared" ref="A7:A40" si="0">RANK(G7,G$7:G$40,0)</f>
        <v>1</v>
      </c>
      <c r="B7" s="1297">
        <v>1</v>
      </c>
      <c r="C7" s="418"/>
      <c r="D7" s="507"/>
      <c r="E7" s="1095" t="s">
        <v>43</v>
      </c>
      <c r="F7" s="1304">
        <f t="shared" ref="F7:F40" si="1">SUM(J7:L7)</f>
        <v>120</v>
      </c>
      <c r="G7" s="16">
        <f>H7+I7</f>
        <v>120.25</v>
      </c>
      <c r="H7" s="270">
        <f t="shared" ref="H7:H40" si="2">IF(L7="",0,RANK(L7,L$7:L$40,1)/100)</f>
        <v>0.25</v>
      </c>
      <c r="I7" s="16">
        <f>SUM(J7:L7)</f>
        <v>120</v>
      </c>
      <c r="J7" s="228">
        <v>40</v>
      </c>
      <c r="K7" s="229">
        <v>40</v>
      </c>
      <c r="L7" s="228">
        <v>40</v>
      </c>
      <c r="M7" s="262">
        <f>COUNTIF(J7:L7,"&gt;=0")</f>
        <v>3</v>
      </c>
      <c r="N7" s="262">
        <f t="shared" ref="N7:N40" si="3">COUNTIF(J7:L7,"&gt;=30")</f>
        <v>3</v>
      </c>
      <c r="O7" s="262">
        <f t="shared" ref="O7:O40" si="4">COUNTIF(J7:L7,"=40")</f>
        <v>3</v>
      </c>
    </row>
    <row r="8" spans="1:15" x14ac:dyDescent="0.2">
      <c r="A8" s="40">
        <f t="shared" si="0"/>
        <v>2</v>
      </c>
      <c r="B8" s="1297">
        <v>2</v>
      </c>
      <c r="C8" s="418"/>
      <c r="D8" s="507"/>
      <c r="E8" s="607" t="s">
        <v>45</v>
      </c>
      <c r="F8" s="1295">
        <f t="shared" si="1"/>
        <v>90</v>
      </c>
      <c r="G8" s="16">
        <f t="shared" ref="G8:G35" si="5">H8+I8</f>
        <v>90.22</v>
      </c>
      <c r="H8" s="270">
        <f t="shared" si="2"/>
        <v>0.22</v>
      </c>
      <c r="I8" s="16">
        <f t="shared" ref="I8:I40" si="6">SUM(J8:L8)</f>
        <v>90</v>
      </c>
      <c r="J8" s="228">
        <v>34</v>
      </c>
      <c r="K8" s="229">
        <v>30</v>
      </c>
      <c r="L8" s="228">
        <v>26</v>
      </c>
      <c r="M8" s="262">
        <f t="shared" ref="M8:M40" si="7">COUNTIF(J8:L8,"&gt;=0")</f>
        <v>3</v>
      </c>
      <c r="N8" s="262">
        <f t="shared" si="3"/>
        <v>2</v>
      </c>
      <c r="O8" s="262">
        <f t="shared" si="4"/>
        <v>0</v>
      </c>
    </row>
    <row r="9" spans="1:15" x14ac:dyDescent="0.2">
      <c r="A9" s="40">
        <f t="shared" si="0"/>
        <v>3</v>
      </c>
      <c r="B9" s="1297">
        <v>3</v>
      </c>
      <c r="C9" s="418"/>
      <c r="D9" s="507"/>
      <c r="E9" s="608" t="s">
        <v>44</v>
      </c>
      <c r="F9" s="1295">
        <f t="shared" si="1"/>
        <v>88</v>
      </c>
      <c r="G9" s="16">
        <f t="shared" si="5"/>
        <v>88.24</v>
      </c>
      <c r="H9" s="270">
        <f t="shared" si="2"/>
        <v>0.24</v>
      </c>
      <c r="I9" s="16">
        <f t="shared" si="6"/>
        <v>88</v>
      </c>
      <c r="J9" s="228">
        <v>30</v>
      </c>
      <c r="K9" s="229">
        <v>24</v>
      </c>
      <c r="L9" s="228">
        <v>34</v>
      </c>
      <c r="M9" s="262">
        <f t="shared" si="7"/>
        <v>3</v>
      </c>
      <c r="N9" s="262">
        <f t="shared" si="3"/>
        <v>2</v>
      </c>
      <c r="O9" s="262">
        <f t="shared" si="4"/>
        <v>0</v>
      </c>
    </row>
    <row r="10" spans="1:15" x14ac:dyDescent="0.2">
      <c r="A10" s="40">
        <f t="shared" si="0"/>
        <v>4</v>
      </c>
      <c r="B10" s="1297">
        <v>4</v>
      </c>
      <c r="C10" s="418"/>
      <c r="D10" s="507"/>
      <c r="E10" s="596" t="s">
        <v>46</v>
      </c>
      <c r="F10" s="1295">
        <f t="shared" si="1"/>
        <v>84</v>
      </c>
      <c r="G10" s="16">
        <f t="shared" si="5"/>
        <v>84.19</v>
      </c>
      <c r="H10" s="270">
        <f t="shared" si="2"/>
        <v>0.19</v>
      </c>
      <c r="I10" s="16">
        <f t="shared" si="6"/>
        <v>84</v>
      </c>
      <c r="J10" s="228">
        <v>30</v>
      </c>
      <c r="K10" s="229">
        <v>34</v>
      </c>
      <c r="L10" s="228">
        <v>20</v>
      </c>
      <c r="M10" s="262">
        <f t="shared" si="7"/>
        <v>3</v>
      </c>
      <c r="N10" s="262">
        <f t="shared" si="3"/>
        <v>2</v>
      </c>
      <c r="O10" s="262">
        <f t="shared" si="4"/>
        <v>0</v>
      </c>
    </row>
    <row r="11" spans="1:15" x14ac:dyDescent="0.2">
      <c r="A11" s="40">
        <f t="shared" si="0"/>
        <v>5</v>
      </c>
      <c r="B11" s="1297">
        <v>5</v>
      </c>
      <c r="C11" s="418"/>
      <c r="D11" s="507">
        <v>1</v>
      </c>
      <c r="E11" s="604" t="s">
        <v>50</v>
      </c>
      <c r="F11" s="1295">
        <f t="shared" si="1"/>
        <v>76</v>
      </c>
      <c r="G11" s="16">
        <f t="shared" si="5"/>
        <v>76.150000000000006</v>
      </c>
      <c r="H11" s="270">
        <f t="shared" si="2"/>
        <v>0.15</v>
      </c>
      <c r="I11" s="16">
        <f t="shared" si="6"/>
        <v>76</v>
      </c>
      <c r="J11" s="228">
        <v>30</v>
      </c>
      <c r="K11" s="229">
        <v>34</v>
      </c>
      <c r="L11" s="228">
        <v>12</v>
      </c>
      <c r="M11" s="262">
        <f t="shared" si="7"/>
        <v>3</v>
      </c>
      <c r="N11" s="262">
        <f t="shared" si="3"/>
        <v>2</v>
      </c>
      <c r="O11" s="262">
        <f t="shared" si="4"/>
        <v>0</v>
      </c>
    </row>
    <row r="12" spans="1:15" x14ac:dyDescent="0.2">
      <c r="A12" s="40">
        <f t="shared" si="0"/>
        <v>6</v>
      </c>
      <c r="B12" s="1297">
        <v>6</v>
      </c>
      <c r="C12" s="418"/>
      <c r="D12" s="507"/>
      <c r="E12" s="599" t="s">
        <v>48</v>
      </c>
      <c r="F12" s="1295">
        <f t="shared" si="1"/>
        <v>70</v>
      </c>
      <c r="G12" s="16">
        <f t="shared" si="5"/>
        <v>70.12</v>
      </c>
      <c r="H12" s="270">
        <f t="shared" si="2"/>
        <v>0.12</v>
      </c>
      <c r="I12" s="16">
        <f t="shared" si="6"/>
        <v>70</v>
      </c>
      <c r="J12" s="228">
        <v>40</v>
      </c>
      <c r="K12" s="229">
        <v>24</v>
      </c>
      <c r="L12" s="228">
        <v>6</v>
      </c>
      <c r="M12" s="262">
        <f t="shared" si="7"/>
        <v>3</v>
      </c>
      <c r="N12" s="262">
        <f t="shared" si="3"/>
        <v>1</v>
      </c>
      <c r="O12" s="262">
        <f t="shared" si="4"/>
        <v>1</v>
      </c>
    </row>
    <row r="13" spans="1:15" x14ac:dyDescent="0.2">
      <c r="A13" s="40">
        <f t="shared" si="0"/>
        <v>7</v>
      </c>
      <c r="B13" s="1297">
        <v>7</v>
      </c>
      <c r="C13" s="418">
        <v>1</v>
      </c>
      <c r="D13" s="507"/>
      <c r="E13" s="417" t="s">
        <v>64</v>
      </c>
      <c r="F13" s="1295">
        <f t="shared" si="1"/>
        <v>64</v>
      </c>
      <c r="G13" s="16">
        <f t="shared" si="5"/>
        <v>64.209999999999994</v>
      </c>
      <c r="H13" s="270">
        <f t="shared" si="2"/>
        <v>0.21</v>
      </c>
      <c r="I13" s="16">
        <f t="shared" si="6"/>
        <v>64</v>
      </c>
      <c r="J13" s="228">
        <v>40</v>
      </c>
      <c r="K13" s="229"/>
      <c r="L13" s="228">
        <v>24</v>
      </c>
      <c r="M13" s="262">
        <f t="shared" si="7"/>
        <v>2</v>
      </c>
      <c r="N13" s="262">
        <f t="shared" si="3"/>
        <v>1</v>
      </c>
      <c r="O13" s="262">
        <f t="shared" si="4"/>
        <v>1</v>
      </c>
    </row>
    <row r="14" spans="1:15" x14ac:dyDescent="0.2">
      <c r="A14" s="40">
        <f t="shared" si="0"/>
        <v>8</v>
      </c>
      <c r="B14" s="1297">
        <v>8</v>
      </c>
      <c r="C14" s="418"/>
      <c r="D14" s="507"/>
      <c r="E14" s="541" t="s">
        <v>57</v>
      </c>
      <c r="F14" s="1295">
        <f t="shared" si="1"/>
        <v>64</v>
      </c>
      <c r="G14" s="16">
        <f t="shared" si="5"/>
        <v>64</v>
      </c>
      <c r="H14" s="270">
        <f t="shared" si="2"/>
        <v>0</v>
      </c>
      <c r="I14" s="16">
        <f t="shared" si="6"/>
        <v>64</v>
      </c>
      <c r="J14" s="229">
        <v>34</v>
      </c>
      <c r="K14" s="229">
        <v>30</v>
      </c>
      <c r="L14" s="228"/>
      <c r="M14" s="262">
        <f t="shared" si="7"/>
        <v>2</v>
      </c>
      <c r="N14" s="262">
        <f t="shared" si="3"/>
        <v>2</v>
      </c>
      <c r="O14" s="262">
        <f t="shared" si="4"/>
        <v>0</v>
      </c>
    </row>
    <row r="15" spans="1:15" x14ac:dyDescent="0.2">
      <c r="A15" s="40">
        <f t="shared" si="0"/>
        <v>9</v>
      </c>
      <c r="B15" s="1297">
        <v>9</v>
      </c>
      <c r="C15" s="506"/>
      <c r="D15" s="508"/>
      <c r="E15" s="601" t="s">
        <v>59</v>
      </c>
      <c r="F15" s="1295">
        <f t="shared" si="1"/>
        <v>60</v>
      </c>
      <c r="G15" s="16">
        <f t="shared" si="5"/>
        <v>60.17</v>
      </c>
      <c r="H15" s="270">
        <f t="shared" si="2"/>
        <v>0.17</v>
      </c>
      <c r="I15" s="16">
        <f t="shared" si="6"/>
        <v>60</v>
      </c>
      <c r="J15" s="228">
        <v>24</v>
      </c>
      <c r="K15" s="615">
        <v>20</v>
      </c>
      <c r="L15" s="228">
        <v>16</v>
      </c>
      <c r="M15" s="262">
        <f t="shared" si="7"/>
        <v>3</v>
      </c>
      <c r="N15" s="262">
        <f t="shared" si="3"/>
        <v>0</v>
      </c>
      <c r="O15" s="262">
        <f t="shared" si="4"/>
        <v>0</v>
      </c>
    </row>
    <row r="16" spans="1:15" x14ac:dyDescent="0.2">
      <c r="A16" s="40">
        <f t="shared" si="0"/>
        <v>10</v>
      </c>
      <c r="B16" s="1298">
        <v>10</v>
      </c>
      <c r="C16" s="418"/>
      <c r="D16" s="507"/>
      <c r="E16" s="601" t="s">
        <v>49</v>
      </c>
      <c r="F16" s="1295">
        <f t="shared" si="1"/>
        <v>56</v>
      </c>
      <c r="G16" s="16">
        <f t="shared" si="5"/>
        <v>56.23</v>
      </c>
      <c r="H16" s="270">
        <f t="shared" si="2"/>
        <v>0.23</v>
      </c>
      <c r="I16" s="16">
        <f t="shared" si="6"/>
        <v>56</v>
      </c>
      <c r="J16" s="228"/>
      <c r="K16" s="229">
        <v>26</v>
      </c>
      <c r="L16" s="228">
        <v>30</v>
      </c>
      <c r="M16" s="262">
        <f t="shared" si="7"/>
        <v>2</v>
      </c>
      <c r="N16" s="262">
        <f t="shared" si="3"/>
        <v>1</v>
      </c>
      <c r="O16" s="262">
        <f t="shared" si="4"/>
        <v>0</v>
      </c>
    </row>
    <row r="17" spans="1:15" x14ac:dyDescent="0.2">
      <c r="A17" s="40">
        <f t="shared" si="0"/>
        <v>11</v>
      </c>
      <c r="B17" s="1297">
        <v>11</v>
      </c>
      <c r="C17" s="418"/>
      <c r="D17" s="507"/>
      <c r="E17" s="601" t="s">
        <v>58</v>
      </c>
      <c r="F17" s="1295">
        <f t="shared" si="1"/>
        <v>52</v>
      </c>
      <c r="G17" s="16">
        <f t="shared" si="5"/>
        <v>52.14</v>
      </c>
      <c r="H17" s="270">
        <f t="shared" si="2"/>
        <v>0.14000000000000001</v>
      </c>
      <c r="I17" s="16">
        <f t="shared" si="6"/>
        <v>52</v>
      </c>
      <c r="J17" s="228">
        <v>20</v>
      </c>
      <c r="K17" s="229">
        <v>22</v>
      </c>
      <c r="L17" s="228">
        <v>10</v>
      </c>
      <c r="M17" s="262">
        <f t="shared" si="7"/>
        <v>3</v>
      </c>
      <c r="N17" s="262">
        <f t="shared" si="3"/>
        <v>0</v>
      </c>
      <c r="O17" s="262">
        <f t="shared" si="4"/>
        <v>0</v>
      </c>
    </row>
    <row r="18" spans="1:15" x14ac:dyDescent="0.2">
      <c r="A18" s="40">
        <f t="shared" si="0"/>
        <v>12</v>
      </c>
      <c r="B18" s="1297">
        <v>12</v>
      </c>
      <c r="C18" s="418"/>
      <c r="D18" s="507"/>
      <c r="E18" s="596" t="s">
        <v>47</v>
      </c>
      <c r="F18" s="1295">
        <f t="shared" si="1"/>
        <v>51</v>
      </c>
      <c r="G18" s="16">
        <f t="shared" si="5"/>
        <v>51.01</v>
      </c>
      <c r="H18" s="270">
        <f t="shared" si="2"/>
        <v>0.01</v>
      </c>
      <c r="I18" s="16">
        <f t="shared" si="6"/>
        <v>51</v>
      </c>
      <c r="J18" s="228">
        <v>24</v>
      </c>
      <c r="K18" s="228">
        <v>26</v>
      </c>
      <c r="L18" s="229">
        <v>1</v>
      </c>
      <c r="M18" s="262">
        <f t="shared" si="7"/>
        <v>3</v>
      </c>
      <c r="N18" s="262">
        <f t="shared" si="3"/>
        <v>0</v>
      </c>
      <c r="O18" s="262">
        <f t="shared" si="4"/>
        <v>0</v>
      </c>
    </row>
    <row r="19" spans="1:15" x14ac:dyDescent="0.2">
      <c r="A19" s="40">
        <f t="shared" si="0"/>
        <v>13</v>
      </c>
      <c r="B19" s="1297">
        <v>13</v>
      </c>
      <c r="C19" s="418"/>
      <c r="D19" s="507"/>
      <c r="E19" s="596" t="s">
        <v>55</v>
      </c>
      <c r="F19" s="1295">
        <f t="shared" si="1"/>
        <v>47</v>
      </c>
      <c r="G19" s="16">
        <f t="shared" si="5"/>
        <v>47.01</v>
      </c>
      <c r="H19" s="270">
        <f t="shared" si="2"/>
        <v>0.01</v>
      </c>
      <c r="I19" s="16">
        <f t="shared" si="6"/>
        <v>47</v>
      </c>
      <c r="J19" s="228">
        <v>34</v>
      </c>
      <c r="K19" s="229">
        <v>12</v>
      </c>
      <c r="L19" s="228">
        <v>1</v>
      </c>
      <c r="M19" s="262">
        <f t="shared" si="7"/>
        <v>3</v>
      </c>
      <c r="N19" s="262">
        <f t="shared" si="3"/>
        <v>1</v>
      </c>
      <c r="O19" s="262">
        <f t="shared" si="4"/>
        <v>0</v>
      </c>
    </row>
    <row r="20" spans="1:15" x14ac:dyDescent="0.2">
      <c r="A20" s="40">
        <f t="shared" si="0"/>
        <v>14</v>
      </c>
      <c r="B20" s="1297">
        <v>14</v>
      </c>
      <c r="C20" s="506"/>
      <c r="D20" s="508"/>
      <c r="E20" s="596" t="s">
        <v>56</v>
      </c>
      <c r="F20" s="1295">
        <f t="shared" si="1"/>
        <v>45</v>
      </c>
      <c r="G20" s="16">
        <f t="shared" si="5"/>
        <v>45.01</v>
      </c>
      <c r="H20" s="270">
        <f t="shared" si="2"/>
        <v>0.01</v>
      </c>
      <c r="I20" s="16">
        <f t="shared" si="6"/>
        <v>45</v>
      </c>
      <c r="J20" s="228">
        <v>26</v>
      </c>
      <c r="K20" s="228">
        <v>18</v>
      </c>
      <c r="L20" s="229">
        <v>1</v>
      </c>
      <c r="M20" s="262">
        <f t="shared" si="7"/>
        <v>3</v>
      </c>
      <c r="N20" s="262">
        <f t="shared" si="3"/>
        <v>0</v>
      </c>
      <c r="O20" s="262">
        <f t="shared" si="4"/>
        <v>0</v>
      </c>
    </row>
    <row r="21" spans="1:15" x14ac:dyDescent="0.2">
      <c r="A21" s="40">
        <f t="shared" si="0"/>
        <v>14</v>
      </c>
      <c r="B21" s="1297">
        <v>14</v>
      </c>
      <c r="C21" s="418"/>
      <c r="D21" s="507"/>
      <c r="E21" s="601" t="s">
        <v>65</v>
      </c>
      <c r="F21" s="1295">
        <f t="shared" si="1"/>
        <v>45</v>
      </c>
      <c r="G21" s="16">
        <f t="shared" si="5"/>
        <v>45.01</v>
      </c>
      <c r="H21" s="270">
        <f t="shared" si="2"/>
        <v>0.01</v>
      </c>
      <c r="I21" s="16">
        <f t="shared" si="6"/>
        <v>45</v>
      </c>
      <c r="J21" s="228">
        <v>26</v>
      </c>
      <c r="K21" s="229">
        <v>18</v>
      </c>
      <c r="L21" s="228">
        <v>1</v>
      </c>
      <c r="M21" s="262">
        <f t="shared" si="7"/>
        <v>3</v>
      </c>
      <c r="N21" s="262">
        <f t="shared" si="3"/>
        <v>0</v>
      </c>
      <c r="O21" s="262">
        <f t="shared" si="4"/>
        <v>0</v>
      </c>
    </row>
    <row r="22" spans="1:15" x14ac:dyDescent="0.2">
      <c r="A22" s="40">
        <f t="shared" si="0"/>
        <v>14</v>
      </c>
      <c r="B22" s="1297">
        <v>16</v>
      </c>
      <c r="C22" s="418"/>
      <c r="D22" s="507"/>
      <c r="E22" s="596" t="s">
        <v>51</v>
      </c>
      <c r="F22" s="1295">
        <f t="shared" si="1"/>
        <v>45</v>
      </c>
      <c r="G22" s="16">
        <f t="shared" si="5"/>
        <v>45.01</v>
      </c>
      <c r="H22" s="270">
        <f t="shared" si="2"/>
        <v>0.01</v>
      </c>
      <c r="I22" s="16">
        <f t="shared" si="6"/>
        <v>45</v>
      </c>
      <c r="J22" s="228">
        <v>24</v>
      </c>
      <c r="K22" s="727">
        <v>20</v>
      </c>
      <c r="L22" s="228">
        <v>1</v>
      </c>
      <c r="M22" s="262">
        <f t="shared" si="7"/>
        <v>3</v>
      </c>
      <c r="N22" s="262">
        <f t="shared" si="3"/>
        <v>0</v>
      </c>
      <c r="O22" s="262">
        <f t="shared" si="4"/>
        <v>0</v>
      </c>
    </row>
    <row r="23" spans="1:15" s="257" customFormat="1" x14ac:dyDescent="0.2">
      <c r="A23" s="40">
        <f t="shared" si="0"/>
        <v>17</v>
      </c>
      <c r="B23" s="1297">
        <v>17</v>
      </c>
      <c r="C23" s="418">
        <v>2</v>
      </c>
      <c r="D23" s="507"/>
      <c r="E23" s="419" t="s">
        <v>61</v>
      </c>
      <c r="F23" s="1295">
        <f t="shared" si="1"/>
        <v>42</v>
      </c>
      <c r="G23" s="16">
        <f t="shared" si="5"/>
        <v>42</v>
      </c>
      <c r="H23" s="270">
        <f t="shared" si="2"/>
        <v>0</v>
      </c>
      <c r="I23" s="16">
        <f t="shared" si="6"/>
        <v>42</v>
      </c>
      <c r="J23" s="228">
        <v>20</v>
      </c>
      <c r="K23" s="229">
        <v>22</v>
      </c>
      <c r="L23" s="228"/>
      <c r="M23" s="262">
        <f t="shared" si="7"/>
        <v>2</v>
      </c>
      <c r="N23" s="262">
        <f t="shared" si="3"/>
        <v>0</v>
      </c>
      <c r="O23" s="262">
        <f t="shared" si="4"/>
        <v>0</v>
      </c>
    </row>
    <row r="24" spans="1:15" x14ac:dyDescent="0.2">
      <c r="A24" s="40">
        <f t="shared" si="0"/>
        <v>18</v>
      </c>
      <c r="B24" s="1298">
        <v>18</v>
      </c>
      <c r="C24" s="418"/>
      <c r="D24" s="507"/>
      <c r="E24" s="541" t="s">
        <v>52</v>
      </c>
      <c r="F24" s="1295">
        <f t="shared" si="1"/>
        <v>40</v>
      </c>
      <c r="G24" s="16">
        <f t="shared" si="5"/>
        <v>40</v>
      </c>
      <c r="H24" s="270">
        <f t="shared" si="2"/>
        <v>0</v>
      </c>
      <c r="I24" s="16">
        <f t="shared" si="6"/>
        <v>40</v>
      </c>
      <c r="J24" s="228"/>
      <c r="K24" s="229">
        <v>40</v>
      </c>
      <c r="L24" s="228"/>
      <c r="M24" s="262">
        <f t="shared" si="7"/>
        <v>1</v>
      </c>
      <c r="N24" s="262">
        <f t="shared" si="3"/>
        <v>1</v>
      </c>
      <c r="O24" s="262">
        <f t="shared" si="4"/>
        <v>1</v>
      </c>
    </row>
    <row r="25" spans="1:15" s="257" customFormat="1" x14ac:dyDescent="0.2">
      <c r="A25" s="40">
        <f t="shared" si="0"/>
        <v>19</v>
      </c>
      <c r="B25" s="1298">
        <v>19</v>
      </c>
      <c r="C25" s="506"/>
      <c r="D25" s="508"/>
      <c r="E25" s="596" t="s">
        <v>60</v>
      </c>
      <c r="F25" s="1295">
        <f t="shared" si="1"/>
        <v>36</v>
      </c>
      <c r="G25" s="16">
        <f t="shared" si="5"/>
        <v>36.200000000000003</v>
      </c>
      <c r="H25" s="270">
        <f t="shared" si="2"/>
        <v>0.2</v>
      </c>
      <c r="I25" s="16">
        <f t="shared" si="6"/>
        <v>36</v>
      </c>
      <c r="J25" s="228"/>
      <c r="K25" s="229">
        <v>14</v>
      </c>
      <c r="L25" s="228">
        <v>22</v>
      </c>
      <c r="M25" s="262">
        <f t="shared" si="7"/>
        <v>2</v>
      </c>
      <c r="N25" s="262">
        <f t="shared" si="3"/>
        <v>0</v>
      </c>
      <c r="O25" s="262">
        <f t="shared" si="4"/>
        <v>0</v>
      </c>
    </row>
    <row r="26" spans="1:15" x14ac:dyDescent="0.2">
      <c r="A26" s="40">
        <f t="shared" si="0"/>
        <v>20</v>
      </c>
      <c r="B26" s="1297">
        <v>20</v>
      </c>
      <c r="C26" s="418"/>
      <c r="D26" s="507"/>
      <c r="E26" s="601" t="s">
        <v>54</v>
      </c>
      <c r="F26" s="1295">
        <f t="shared" si="1"/>
        <v>33</v>
      </c>
      <c r="G26" s="16">
        <f t="shared" si="5"/>
        <v>33.01</v>
      </c>
      <c r="H26" s="270">
        <f t="shared" si="2"/>
        <v>0.01</v>
      </c>
      <c r="I26" s="16">
        <f t="shared" si="6"/>
        <v>33</v>
      </c>
      <c r="J26" s="228">
        <v>18</v>
      </c>
      <c r="K26" s="228">
        <v>14</v>
      </c>
      <c r="L26" s="229">
        <v>1</v>
      </c>
      <c r="M26" s="262">
        <f t="shared" si="7"/>
        <v>3</v>
      </c>
      <c r="N26" s="262">
        <f t="shared" si="3"/>
        <v>0</v>
      </c>
      <c r="O26" s="262">
        <f t="shared" si="4"/>
        <v>0</v>
      </c>
    </row>
    <row r="27" spans="1:15" x14ac:dyDescent="0.2">
      <c r="A27" s="40">
        <f t="shared" si="0"/>
        <v>21</v>
      </c>
      <c r="B27" s="1297">
        <v>21</v>
      </c>
      <c r="C27" s="418">
        <v>3</v>
      </c>
      <c r="D27" s="507"/>
      <c r="E27" s="418" t="s">
        <v>67</v>
      </c>
      <c r="F27" s="1295">
        <f t="shared" si="1"/>
        <v>31</v>
      </c>
      <c r="G27" s="16">
        <f t="shared" si="5"/>
        <v>31.01</v>
      </c>
      <c r="H27" s="270">
        <f t="shared" si="2"/>
        <v>0.01</v>
      </c>
      <c r="I27" s="16">
        <f t="shared" si="6"/>
        <v>31</v>
      </c>
      <c r="J27" s="228">
        <v>18</v>
      </c>
      <c r="K27" s="229">
        <v>12</v>
      </c>
      <c r="L27" s="229">
        <v>1</v>
      </c>
      <c r="M27" s="262">
        <f t="shared" si="7"/>
        <v>3</v>
      </c>
      <c r="N27" s="262">
        <f t="shared" si="3"/>
        <v>0</v>
      </c>
      <c r="O27" s="262">
        <f t="shared" si="4"/>
        <v>0</v>
      </c>
    </row>
    <row r="28" spans="1:15" s="257" customFormat="1" x14ac:dyDescent="0.2">
      <c r="A28" s="40">
        <f t="shared" si="0"/>
        <v>22</v>
      </c>
      <c r="B28" s="1297">
        <v>22</v>
      </c>
      <c r="C28" s="418">
        <v>4</v>
      </c>
      <c r="D28" s="507"/>
      <c r="E28" s="418" t="s">
        <v>339</v>
      </c>
      <c r="F28" s="1295">
        <f t="shared" si="1"/>
        <v>30</v>
      </c>
      <c r="G28" s="16">
        <f t="shared" si="5"/>
        <v>30.13</v>
      </c>
      <c r="H28" s="270">
        <f t="shared" si="2"/>
        <v>0.13</v>
      </c>
      <c r="I28" s="16">
        <f t="shared" si="6"/>
        <v>30</v>
      </c>
      <c r="J28" s="228">
        <v>22</v>
      </c>
      <c r="K28" s="229"/>
      <c r="L28" s="228">
        <v>8</v>
      </c>
      <c r="M28" s="262">
        <f t="shared" si="7"/>
        <v>2</v>
      </c>
      <c r="N28" s="262">
        <f t="shared" si="3"/>
        <v>0</v>
      </c>
      <c r="O28" s="262">
        <f t="shared" si="4"/>
        <v>0</v>
      </c>
    </row>
    <row r="29" spans="1:15" x14ac:dyDescent="0.2">
      <c r="A29" s="40">
        <f t="shared" si="0"/>
        <v>24</v>
      </c>
      <c r="B29" s="1297">
        <v>23</v>
      </c>
      <c r="C29" s="418"/>
      <c r="D29" s="507"/>
      <c r="E29" s="541" t="s">
        <v>71</v>
      </c>
      <c r="F29" s="1295">
        <f t="shared" si="1"/>
        <v>26</v>
      </c>
      <c r="G29" s="16">
        <f t="shared" si="5"/>
        <v>26</v>
      </c>
      <c r="H29" s="270">
        <f t="shared" si="2"/>
        <v>0</v>
      </c>
      <c r="I29" s="16">
        <f t="shared" si="6"/>
        <v>26</v>
      </c>
      <c r="J29" s="228">
        <v>26</v>
      </c>
      <c r="K29" s="229"/>
      <c r="L29" s="228"/>
      <c r="M29" s="262">
        <f t="shared" si="7"/>
        <v>1</v>
      </c>
      <c r="N29" s="262">
        <f t="shared" si="3"/>
        <v>0</v>
      </c>
      <c r="O29" s="262">
        <f t="shared" si="4"/>
        <v>0</v>
      </c>
    </row>
    <row r="30" spans="1:15" x14ac:dyDescent="0.2">
      <c r="A30" s="40">
        <f t="shared" si="0"/>
        <v>23</v>
      </c>
      <c r="B30" s="1297">
        <v>24</v>
      </c>
      <c r="C30" s="418"/>
      <c r="D30" s="507"/>
      <c r="E30" s="596" t="s">
        <v>81</v>
      </c>
      <c r="F30" s="1295">
        <f t="shared" si="1"/>
        <v>26</v>
      </c>
      <c r="G30" s="16">
        <f t="shared" si="5"/>
        <v>26.11</v>
      </c>
      <c r="H30" s="270">
        <f t="shared" si="2"/>
        <v>0.11</v>
      </c>
      <c r="I30" s="16">
        <f t="shared" si="6"/>
        <v>26</v>
      </c>
      <c r="J30" s="228">
        <v>22</v>
      </c>
      <c r="K30" s="229"/>
      <c r="L30" s="228">
        <v>4</v>
      </c>
      <c r="M30" s="262">
        <f t="shared" si="7"/>
        <v>2</v>
      </c>
      <c r="N30" s="262">
        <f t="shared" si="3"/>
        <v>0</v>
      </c>
      <c r="O30" s="262">
        <f t="shared" si="4"/>
        <v>0</v>
      </c>
    </row>
    <row r="31" spans="1:15" s="257" customFormat="1" x14ac:dyDescent="0.2">
      <c r="A31" s="40">
        <f t="shared" si="0"/>
        <v>25</v>
      </c>
      <c r="B31" s="1297">
        <v>25</v>
      </c>
      <c r="C31" s="418"/>
      <c r="D31" s="507"/>
      <c r="E31" s="541" t="s">
        <v>53</v>
      </c>
      <c r="F31" s="1295">
        <f t="shared" si="1"/>
        <v>22</v>
      </c>
      <c r="G31" s="16">
        <f t="shared" si="5"/>
        <v>22</v>
      </c>
      <c r="H31" s="270">
        <f t="shared" si="2"/>
        <v>0</v>
      </c>
      <c r="I31" s="16">
        <f t="shared" si="6"/>
        <v>22</v>
      </c>
      <c r="J31" s="228">
        <v>22</v>
      </c>
      <c r="K31" s="229"/>
      <c r="L31" s="228"/>
      <c r="M31" s="262">
        <f t="shared" si="7"/>
        <v>1</v>
      </c>
      <c r="N31" s="262">
        <f t="shared" si="3"/>
        <v>0</v>
      </c>
      <c r="O31" s="262">
        <f t="shared" si="4"/>
        <v>0</v>
      </c>
    </row>
    <row r="32" spans="1:15" s="257" customFormat="1" x14ac:dyDescent="0.2">
      <c r="A32" s="40">
        <f t="shared" si="0"/>
        <v>25</v>
      </c>
      <c r="B32" s="1297">
        <v>25</v>
      </c>
      <c r="C32" s="418"/>
      <c r="D32" s="507"/>
      <c r="E32" s="225" t="s">
        <v>287</v>
      </c>
      <c r="F32" s="1295">
        <f t="shared" si="1"/>
        <v>22</v>
      </c>
      <c r="G32" s="16">
        <f t="shared" si="5"/>
        <v>22</v>
      </c>
      <c r="H32" s="270">
        <f t="shared" si="2"/>
        <v>0</v>
      </c>
      <c r="I32" s="16">
        <f t="shared" si="6"/>
        <v>22</v>
      </c>
      <c r="J32" s="228">
        <v>22</v>
      </c>
      <c r="K32" s="229"/>
      <c r="L32" s="228"/>
      <c r="M32" s="262">
        <f t="shared" si="7"/>
        <v>1</v>
      </c>
      <c r="N32" s="262">
        <f t="shared" si="3"/>
        <v>0</v>
      </c>
      <c r="O32" s="262">
        <f t="shared" si="4"/>
        <v>0</v>
      </c>
    </row>
    <row r="33" spans="1:15" s="257" customFormat="1" x14ac:dyDescent="0.2">
      <c r="A33" s="40">
        <f t="shared" si="0"/>
        <v>28</v>
      </c>
      <c r="B33" s="1297">
        <v>27</v>
      </c>
      <c r="C33" s="418"/>
      <c r="D33" s="507"/>
      <c r="E33" s="225" t="s">
        <v>289</v>
      </c>
      <c r="F33" s="1295">
        <f t="shared" si="1"/>
        <v>20</v>
      </c>
      <c r="G33" s="16">
        <f t="shared" si="5"/>
        <v>20</v>
      </c>
      <c r="H33" s="270">
        <f t="shared" si="2"/>
        <v>0</v>
      </c>
      <c r="I33" s="16">
        <f t="shared" si="6"/>
        <v>20</v>
      </c>
      <c r="J33" s="228">
        <v>20</v>
      </c>
      <c r="K33" s="229"/>
      <c r="L33" s="228"/>
      <c r="M33" s="262">
        <f t="shared" si="7"/>
        <v>1</v>
      </c>
      <c r="N33" s="262">
        <f t="shared" si="3"/>
        <v>0</v>
      </c>
      <c r="O33" s="262">
        <f t="shared" si="4"/>
        <v>0</v>
      </c>
    </row>
    <row r="34" spans="1:15" x14ac:dyDescent="0.2">
      <c r="A34" s="40">
        <f t="shared" si="0"/>
        <v>27</v>
      </c>
      <c r="B34" s="1297">
        <v>28</v>
      </c>
      <c r="C34" s="506"/>
      <c r="D34" s="508"/>
      <c r="E34" s="596" t="s">
        <v>63</v>
      </c>
      <c r="F34" s="1295">
        <f t="shared" si="1"/>
        <v>20</v>
      </c>
      <c r="G34" s="16">
        <f t="shared" si="5"/>
        <v>20.100000000000001</v>
      </c>
      <c r="H34" s="270">
        <f t="shared" si="2"/>
        <v>0.1</v>
      </c>
      <c r="I34" s="16">
        <f t="shared" si="6"/>
        <v>20</v>
      </c>
      <c r="J34" s="229">
        <v>18</v>
      </c>
      <c r="K34" s="229"/>
      <c r="L34" s="229">
        <v>2</v>
      </c>
      <c r="M34" s="262">
        <f t="shared" si="7"/>
        <v>2</v>
      </c>
      <c r="N34" s="262">
        <f t="shared" si="3"/>
        <v>0</v>
      </c>
      <c r="O34" s="262">
        <f t="shared" si="4"/>
        <v>0</v>
      </c>
    </row>
    <row r="35" spans="1:15" x14ac:dyDescent="0.2">
      <c r="A35" s="40">
        <f t="shared" si="0"/>
        <v>29</v>
      </c>
      <c r="B35" s="1298">
        <v>29</v>
      </c>
      <c r="C35" s="506"/>
      <c r="D35" s="508"/>
      <c r="E35" s="225" t="s">
        <v>392</v>
      </c>
      <c r="F35" s="1295">
        <f t="shared" si="1"/>
        <v>18</v>
      </c>
      <c r="G35" s="16">
        <f t="shared" si="5"/>
        <v>18.18</v>
      </c>
      <c r="H35" s="270">
        <f t="shared" si="2"/>
        <v>0.18</v>
      </c>
      <c r="I35" s="16">
        <f t="shared" si="6"/>
        <v>18</v>
      </c>
      <c r="J35" s="228"/>
      <c r="K35" s="229"/>
      <c r="L35" s="228">
        <v>18</v>
      </c>
      <c r="M35" s="262">
        <f t="shared" si="7"/>
        <v>1</v>
      </c>
      <c r="N35" s="262">
        <f t="shared" si="3"/>
        <v>0</v>
      </c>
      <c r="O35" s="262">
        <f t="shared" si="4"/>
        <v>0</v>
      </c>
    </row>
    <row r="36" spans="1:15" x14ac:dyDescent="0.2">
      <c r="A36" s="40">
        <f t="shared" si="0"/>
        <v>30</v>
      </c>
      <c r="B36" s="1298">
        <v>30</v>
      </c>
      <c r="C36" s="506"/>
      <c r="D36" s="508"/>
      <c r="E36" s="458" t="s">
        <v>312</v>
      </c>
      <c r="F36" s="1295">
        <f t="shared" si="1"/>
        <v>16</v>
      </c>
      <c r="G36" s="16">
        <f>H36+I36</f>
        <v>16</v>
      </c>
      <c r="H36" s="270">
        <f t="shared" si="2"/>
        <v>0</v>
      </c>
      <c r="I36" s="16">
        <f t="shared" si="6"/>
        <v>16</v>
      </c>
      <c r="J36" s="228"/>
      <c r="K36" s="615">
        <v>16</v>
      </c>
      <c r="L36" s="228"/>
      <c r="M36" s="262">
        <f t="shared" si="7"/>
        <v>1</v>
      </c>
      <c r="N36" s="262">
        <f t="shared" si="3"/>
        <v>0</v>
      </c>
      <c r="O36" s="262">
        <f t="shared" si="4"/>
        <v>0</v>
      </c>
    </row>
    <row r="37" spans="1:15" x14ac:dyDescent="0.2">
      <c r="A37" s="40">
        <f t="shared" si="0"/>
        <v>30</v>
      </c>
      <c r="B37" s="1298">
        <v>30</v>
      </c>
      <c r="C37" s="418"/>
      <c r="D37" s="507"/>
      <c r="E37" s="457" t="s">
        <v>82</v>
      </c>
      <c r="F37" s="1295">
        <f t="shared" si="1"/>
        <v>16</v>
      </c>
      <c r="G37" s="16">
        <f>H37+I37</f>
        <v>16</v>
      </c>
      <c r="H37" s="270">
        <f t="shared" si="2"/>
        <v>0</v>
      </c>
      <c r="I37" s="16">
        <f t="shared" si="6"/>
        <v>16</v>
      </c>
      <c r="J37" s="228"/>
      <c r="K37" s="727">
        <v>16</v>
      </c>
      <c r="L37" s="228"/>
      <c r="M37" s="262">
        <f t="shared" si="7"/>
        <v>1</v>
      </c>
      <c r="N37" s="262">
        <f t="shared" si="3"/>
        <v>0</v>
      </c>
      <c r="O37" s="262">
        <f t="shared" si="4"/>
        <v>0</v>
      </c>
    </row>
    <row r="38" spans="1:15" x14ac:dyDescent="0.2">
      <c r="A38" s="40">
        <f t="shared" si="0"/>
        <v>32</v>
      </c>
      <c r="B38" s="1298">
        <v>32</v>
      </c>
      <c r="C38" s="418"/>
      <c r="D38" s="507"/>
      <c r="E38" s="596" t="s">
        <v>72</v>
      </c>
      <c r="F38" s="1295">
        <f t="shared" si="1"/>
        <v>14</v>
      </c>
      <c r="G38" s="16">
        <f>H38+I38</f>
        <v>14.16</v>
      </c>
      <c r="H38" s="270">
        <f t="shared" si="2"/>
        <v>0.16</v>
      </c>
      <c r="I38" s="16">
        <f t="shared" si="6"/>
        <v>14</v>
      </c>
      <c r="J38" s="228"/>
      <c r="K38" s="229"/>
      <c r="L38" s="228">
        <v>14</v>
      </c>
      <c r="M38" s="262">
        <f t="shared" si="7"/>
        <v>1</v>
      </c>
      <c r="N38" s="262">
        <f t="shared" si="3"/>
        <v>0</v>
      </c>
      <c r="O38" s="262">
        <f t="shared" si="4"/>
        <v>0</v>
      </c>
    </row>
    <row r="39" spans="1:15" x14ac:dyDescent="0.2">
      <c r="A39" s="40">
        <f t="shared" si="0"/>
        <v>33</v>
      </c>
      <c r="B39" s="1298">
        <v>33</v>
      </c>
      <c r="C39" s="418"/>
      <c r="D39" s="509"/>
      <c r="E39" s="541" t="s">
        <v>69</v>
      </c>
      <c r="F39" s="1295">
        <f t="shared" si="1"/>
        <v>1</v>
      </c>
      <c r="G39" s="16">
        <f>H39+I39</f>
        <v>1.01</v>
      </c>
      <c r="H39" s="270">
        <f t="shared" si="2"/>
        <v>0.01</v>
      </c>
      <c r="I39" s="16">
        <f t="shared" si="6"/>
        <v>1</v>
      </c>
      <c r="J39" s="228"/>
      <c r="K39" s="229"/>
      <c r="L39" s="228">
        <v>1</v>
      </c>
      <c r="M39" s="262">
        <f t="shared" si="7"/>
        <v>1</v>
      </c>
      <c r="N39" s="262">
        <f t="shared" si="3"/>
        <v>0</v>
      </c>
      <c r="O39" s="262">
        <f t="shared" si="4"/>
        <v>0</v>
      </c>
    </row>
    <row r="40" spans="1:15" x14ac:dyDescent="0.2">
      <c r="A40" s="40">
        <f t="shared" si="0"/>
        <v>33</v>
      </c>
      <c r="B40" s="1298">
        <v>33</v>
      </c>
      <c r="C40" s="506"/>
      <c r="D40" s="508"/>
      <c r="E40" s="225" t="s">
        <v>391</v>
      </c>
      <c r="F40" s="1295">
        <f t="shared" si="1"/>
        <v>1</v>
      </c>
      <c r="G40" s="16">
        <f>H40+I40</f>
        <v>1.01</v>
      </c>
      <c r="H40" s="270">
        <f t="shared" si="2"/>
        <v>0.01</v>
      </c>
      <c r="I40" s="16">
        <f t="shared" si="6"/>
        <v>1</v>
      </c>
      <c r="J40" s="228"/>
      <c r="K40" s="229"/>
      <c r="L40" s="228">
        <v>1</v>
      </c>
      <c r="M40" s="262">
        <f t="shared" si="7"/>
        <v>1</v>
      </c>
      <c r="N40" s="262">
        <f t="shared" si="3"/>
        <v>0</v>
      </c>
      <c r="O40" s="262">
        <f t="shared" si="4"/>
        <v>0</v>
      </c>
    </row>
    <row r="41" spans="1:15" hidden="1" x14ac:dyDescent="0.2">
      <c r="A41" s="107"/>
      <c r="B41" s="233"/>
      <c r="C41" s="233"/>
      <c r="D41" s="1179"/>
      <c r="E41" s="271"/>
      <c r="F41" s="1304"/>
      <c r="G41" s="17"/>
      <c r="H41" s="294"/>
      <c r="I41" s="17"/>
      <c r="J41" s="279"/>
      <c r="K41" s="279"/>
      <c r="L41" s="295"/>
      <c r="M41" s="262"/>
      <c r="N41" s="262"/>
      <c r="O41" s="262"/>
    </row>
    <row r="42" spans="1:15" x14ac:dyDescent="0.2">
      <c r="A42" s="263"/>
      <c r="B42" s="263">
        <f>COUNT(B7:B40)</f>
        <v>34</v>
      </c>
      <c r="C42" s="986">
        <f>COUNT(C7:C40)</f>
        <v>4</v>
      </c>
      <c r="D42" s="987">
        <f>COUNT(D7:D40)</f>
        <v>1</v>
      </c>
      <c r="E42" s="264" t="s">
        <v>74</v>
      </c>
      <c r="F42" s="265"/>
      <c r="G42" s="265"/>
      <c r="H42" s="265"/>
      <c r="I42" s="265"/>
      <c r="J42" s="266">
        <f>COUNTIF(J7:J40,"&gt;=0")</f>
        <v>25</v>
      </c>
      <c r="K42" s="266">
        <f>COUNTIF(K7:K40,"&gt;=0")</f>
        <v>22</v>
      </c>
      <c r="L42" s="266">
        <f>COUNTIF(L7:L40,"&gt;=0")</f>
        <v>25</v>
      </c>
      <c r="M42" s="264"/>
      <c r="N42" s="267">
        <f>SUM(N7:N40)</f>
        <v>18</v>
      </c>
      <c r="O42" s="267">
        <f>SUM(O7:O40)</f>
        <v>6</v>
      </c>
    </row>
    <row r="43" spans="1:15" x14ac:dyDescent="0.2">
      <c r="A43" s="252"/>
      <c r="B43" s="252"/>
      <c r="C43" s="252"/>
      <c r="D43" s="268"/>
      <c r="E43" s="264" t="s">
        <v>75</v>
      </c>
      <c r="F43" s="265"/>
      <c r="G43" s="265"/>
      <c r="H43" s="265"/>
      <c r="I43" s="265"/>
      <c r="J43" s="421">
        <f>IF((J42/(LEN(J6)-LEN(SUBSTITUTE(J6,"*","")))-0.5)&lt;0,"",J42/(LEN(J6)-LEN(SUBSTITUTE(J6,"*","")))-0.5)</f>
        <v>7.8333333333333339</v>
      </c>
      <c r="K43" s="421">
        <f>IF((K42/(LEN(K6)-LEN(SUBSTITUTE(K6,"*","")))-0.5)&lt;0,"",K42/(LEN(K6)-LEN(SUBSTITUTE(K6,"*","")))-0.5)</f>
        <v>10.5</v>
      </c>
      <c r="L43" s="268"/>
      <c r="M43" s="252"/>
      <c r="N43" s="252"/>
      <c r="O43" s="252"/>
    </row>
    <row r="45" spans="1:15" x14ac:dyDescent="0.2">
      <c r="A45" s="250" t="s">
        <v>127</v>
      </c>
    </row>
  </sheetData>
  <autoFilter ref="M6:O6"/>
  <mergeCells count="3">
    <mergeCell ref="M4:M5"/>
    <mergeCell ref="N4:N5"/>
    <mergeCell ref="O4:O5"/>
  </mergeCells>
  <conditionalFormatting sqref="J41:L41">
    <cfRule type="cellIs" dxfId="139" priority="16" stopIfTrue="1" operator="equal">
      <formula>30</formula>
    </cfRule>
    <cfRule type="cellIs" dxfId="138" priority="17" stopIfTrue="1" operator="equal">
      <formula>34</formula>
    </cfRule>
    <cfRule type="cellIs" dxfId="137" priority="18" stopIfTrue="1" operator="equal">
      <formula>40</formula>
    </cfRule>
  </conditionalFormatting>
  <conditionalFormatting sqref="J42:L42">
    <cfRule type="top10" dxfId="136" priority="19" stopIfTrue="1" rank="1"/>
  </conditionalFormatting>
  <conditionalFormatting sqref="E7:E40">
    <cfRule type="duplicateValues" dxfId="135" priority="6" stopIfTrue="1"/>
  </conditionalFormatting>
  <conditionalFormatting sqref="J7:L40">
    <cfRule type="cellIs" dxfId="134" priority="3" stopIfTrue="1" operator="equal">
      <formula>30</formula>
    </cfRule>
    <cfRule type="cellIs" dxfId="133" priority="4" stopIfTrue="1" operator="equal">
      <formula>34</formula>
    </cfRule>
    <cfRule type="cellIs" dxfId="132" priority="5" stopIfTrue="1" operator="equal">
      <formula>40</formula>
    </cfRule>
  </conditionalFormatting>
  <conditionalFormatting sqref="N7:N41">
    <cfRule type="top10" dxfId="131" priority="48" stopIfTrue="1" rank="1"/>
  </conditionalFormatting>
  <conditionalFormatting sqref="O7:O41">
    <cfRule type="top10" dxfId="130" priority="50" stopIfTrue="1" rank="1"/>
  </conditionalFormatting>
  <conditionalFormatting sqref="M7:M41">
    <cfRule type="top10" dxfId="129" priority="52" stopIfTrue="1" rank="1"/>
  </conditionalFormatting>
  <conditionalFormatting sqref="E41">
    <cfRule type="duplicateValues" dxfId="128" priority="54" stopIfTrue="1"/>
  </conditionalFormatting>
  <conditionalFormatting sqref="L41">
    <cfRule type="duplicateValues" dxfId="127" priority="55" stopIfTrue="1"/>
  </conditionalFormatting>
  <conditionalFormatting sqref="G7:G41">
    <cfRule type="duplicateValues" dxfId="126" priority="56" stopIfTrue="1"/>
  </conditionalFormatting>
  <conditionalFormatting sqref="A7:A40">
    <cfRule type="duplicateValues" dxfId="125" priority="1" stopIfTrue="1"/>
  </conditionalFormatting>
  <pageMargins left="0.78740157480314965" right="0.39370078740157483" top="0.59055118110236227" bottom="0.39370078740157483" header="0.39370078740157483" footer="0"/>
  <pageSetup paperSize="9" scale="91" fitToHeight="0" orientation="portrait" useFirstPageNumber="1" verticalDpi="300" r:id="rId1"/>
  <headerFooter alignWithMargins="0">
    <oddHeader>&amp;R&amp;"Arial,Regular"&amp;9Page &amp;P of &amp;N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.28515625" style="9" customWidth="1"/>
    <col min="2" max="2" width="42.140625" style="9" bestFit="1" customWidth="1"/>
    <col min="3" max="3" width="7.28515625" style="9" customWidth="1"/>
    <col min="4" max="4" width="7.42578125" style="9" bestFit="1" customWidth="1"/>
    <col min="5" max="6" width="9.140625" style="9"/>
    <col min="7" max="7" width="5.140625" style="9" customWidth="1"/>
    <col min="8" max="8" width="9.140625" style="9"/>
    <col min="9" max="9" width="4.42578125" style="9" customWidth="1"/>
    <col min="10" max="13" width="9.140625" style="9"/>
    <col min="14" max="14" width="5.28515625" style="9" customWidth="1"/>
    <col min="15" max="16384" width="9.140625" style="9"/>
  </cols>
  <sheetData>
    <row r="1" spans="1:9" x14ac:dyDescent="0.2">
      <c r="A1" s="45" t="str">
        <f>UPPER((Kalend!E15)&amp;" - "&amp;(Kalend!C15)&amp;" - "&amp;(Kalend!D15))</f>
        <v>4 - IDA-VIRUMAA MV - TRIO</v>
      </c>
      <c r="E1" s="297" t="str">
        <f>HYPERLINK("#Kalend!I1","Kalender")</f>
        <v>Kalender</v>
      </c>
      <c r="F1" s="478"/>
      <c r="G1" s="297" t="str">
        <f>HYPERLINK("#Reit!K1","Reiting")</f>
        <v>Reiting</v>
      </c>
      <c r="H1" s="478"/>
      <c r="I1" s="478"/>
    </row>
    <row r="2" spans="1:9" x14ac:dyDescent="0.2">
      <c r="A2" s="9" t="str">
        <f>"Toimumisaeg: "&amp;(Kalend!A15)&amp;" kell "&amp;(Kalend!B15)</f>
        <v>Toimumisaeg: N, 09.06.2016 kell 18:00</v>
      </c>
    </row>
    <row r="3" spans="1:9" x14ac:dyDescent="0.2">
      <c r="A3" s="9" t="str">
        <f>"Toimumiskoht: "&amp;(Kalend!F15)</f>
        <v>Toimumiskoht: K-Nõmme, Eesti Kaevandusmuuseum</v>
      </c>
    </row>
    <row r="4" spans="1:9" x14ac:dyDescent="0.2">
      <c r="A4" s="9" t="str">
        <f>"Korraldaja: "&amp;(Kalend!G15)</f>
        <v xml:space="preserve">Korraldaja: </v>
      </c>
    </row>
    <row r="5" spans="1:9" s="478" customFormat="1" x14ac:dyDescent="0.2">
      <c r="A5" s="534"/>
    </row>
    <row r="6" spans="1:9" s="478" customFormat="1" x14ac:dyDescent="0.2">
      <c r="A6" s="534" t="s">
        <v>404</v>
      </c>
    </row>
    <row r="7" spans="1:9" s="478" customFormat="1" x14ac:dyDescent="0.2"/>
    <row r="8" spans="1:9" s="478" customFormat="1" x14ac:dyDescent="0.2">
      <c r="A8" s="30" t="s">
        <v>271</v>
      </c>
      <c r="B8" s="30"/>
      <c r="C8" s="381" t="s">
        <v>272</v>
      </c>
      <c r="D8" s="381" t="s">
        <v>273</v>
      </c>
      <c r="E8" s="381" t="s">
        <v>274</v>
      </c>
      <c r="F8" s="381" t="s">
        <v>275</v>
      </c>
      <c r="G8" s="381" t="s">
        <v>86</v>
      </c>
    </row>
    <row r="9" spans="1:9" s="478" customFormat="1" x14ac:dyDescent="0.2">
      <c r="A9" s="30">
        <v>1</v>
      </c>
      <c r="B9" s="693" t="s">
        <v>294</v>
      </c>
      <c r="C9" s="382">
        <v>13</v>
      </c>
      <c r="D9" s="382">
        <v>7</v>
      </c>
      <c r="E9" s="382"/>
      <c r="F9" s="382">
        <v>13</v>
      </c>
      <c r="G9" s="617" t="s">
        <v>146</v>
      </c>
    </row>
    <row r="10" spans="1:9" s="478" customFormat="1" x14ac:dyDescent="0.2">
      <c r="A10" s="30">
        <v>2</v>
      </c>
      <c r="B10" s="693" t="s">
        <v>282</v>
      </c>
      <c r="C10" s="382">
        <v>10</v>
      </c>
      <c r="D10" s="382"/>
      <c r="E10" s="382">
        <v>13</v>
      </c>
      <c r="F10" s="382">
        <v>1</v>
      </c>
      <c r="G10" s="617" t="s">
        <v>260</v>
      </c>
    </row>
    <row r="11" spans="1:9" s="478" customFormat="1" x14ac:dyDescent="0.2">
      <c r="A11" s="30">
        <v>3</v>
      </c>
      <c r="B11" s="874" t="s">
        <v>398</v>
      </c>
      <c r="C11" s="383">
        <v>11</v>
      </c>
      <c r="D11" s="382">
        <v>13</v>
      </c>
      <c r="E11" s="382"/>
      <c r="F11" s="382"/>
      <c r="G11" s="617" t="s">
        <v>259</v>
      </c>
    </row>
    <row r="12" spans="1:9" s="478" customFormat="1" x14ac:dyDescent="0.2">
      <c r="A12" s="30">
        <v>4</v>
      </c>
      <c r="B12" s="614"/>
      <c r="C12" s="382">
        <v>0</v>
      </c>
      <c r="D12" s="382"/>
      <c r="E12" s="382">
        <v>0</v>
      </c>
      <c r="F12" s="382"/>
      <c r="G12" s="451"/>
    </row>
    <row r="13" spans="1:9" s="478" customFormat="1" x14ac:dyDescent="0.2">
      <c r="A13" s="23"/>
      <c r="B13" s="8"/>
      <c r="C13" s="384"/>
      <c r="D13" s="384"/>
      <c r="E13" s="384"/>
      <c r="F13" s="275"/>
      <c r="G13" s="385"/>
    </row>
    <row r="14" spans="1:9" s="478" customFormat="1" x14ac:dyDescent="0.2">
      <c r="A14" s="30" t="s">
        <v>276</v>
      </c>
      <c r="B14" s="30"/>
      <c r="C14" s="381" t="s">
        <v>272</v>
      </c>
      <c r="D14" s="381" t="s">
        <v>273</v>
      </c>
      <c r="E14" s="381" t="s">
        <v>274</v>
      </c>
      <c r="F14" s="381" t="s">
        <v>275</v>
      </c>
      <c r="G14" s="381" t="s">
        <v>86</v>
      </c>
    </row>
    <row r="15" spans="1:9" s="478" customFormat="1" x14ac:dyDescent="0.2">
      <c r="A15" s="30">
        <v>1</v>
      </c>
      <c r="B15" s="693" t="s">
        <v>277</v>
      </c>
      <c r="C15" s="382">
        <v>13</v>
      </c>
      <c r="D15" s="382">
        <v>13</v>
      </c>
      <c r="E15" s="382"/>
      <c r="F15" s="382"/>
      <c r="G15" s="617" t="s">
        <v>259</v>
      </c>
    </row>
    <row r="16" spans="1:9" s="478" customFormat="1" x14ac:dyDescent="0.2">
      <c r="A16" s="30">
        <v>2</v>
      </c>
      <c r="B16" s="693" t="s">
        <v>399</v>
      </c>
      <c r="C16" s="383"/>
      <c r="D16" s="382">
        <v>3</v>
      </c>
      <c r="E16" s="382"/>
      <c r="F16" s="383">
        <v>11</v>
      </c>
      <c r="G16" s="617" t="s">
        <v>146</v>
      </c>
    </row>
    <row r="17" spans="1:11" s="478" customFormat="1" x14ac:dyDescent="0.2">
      <c r="A17" s="30">
        <v>3</v>
      </c>
      <c r="B17" s="476" t="s">
        <v>405</v>
      </c>
      <c r="C17" s="382"/>
      <c r="D17" s="382"/>
      <c r="E17" s="382">
        <v>13</v>
      </c>
      <c r="F17" s="382">
        <v>8</v>
      </c>
      <c r="G17" s="617" t="s">
        <v>260</v>
      </c>
    </row>
    <row r="18" spans="1:11" s="478" customFormat="1" x14ac:dyDescent="0.2">
      <c r="A18" s="30">
        <v>4</v>
      </c>
      <c r="B18" s="599"/>
      <c r="C18" s="382">
        <v>0</v>
      </c>
      <c r="D18" s="382"/>
      <c r="E18" s="382">
        <v>0</v>
      </c>
      <c r="F18" s="382"/>
      <c r="G18" s="451"/>
    </row>
    <row r="19" spans="1:11" s="478" customFormat="1" x14ac:dyDescent="0.2">
      <c r="A19" s="23"/>
      <c r="B19" s="8"/>
      <c r="C19" s="384"/>
      <c r="D19" s="384"/>
      <c r="E19" s="384"/>
      <c r="F19" s="275"/>
      <c r="G19" s="385"/>
    </row>
    <row r="20" spans="1:11" s="478" customFormat="1" x14ac:dyDescent="0.2">
      <c r="A20" s="30" t="s">
        <v>299</v>
      </c>
      <c r="B20" s="30"/>
      <c r="C20" s="381" t="s">
        <v>272</v>
      </c>
      <c r="D20" s="381" t="s">
        <v>273</v>
      </c>
      <c r="E20" s="381" t="s">
        <v>274</v>
      </c>
      <c r="F20" s="381" t="s">
        <v>275</v>
      </c>
      <c r="G20" s="381" t="s">
        <v>86</v>
      </c>
    </row>
    <row r="21" spans="1:11" s="478" customFormat="1" x14ac:dyDescent="0.2">
      <c r="A21" s="30">
        <v>1</v>
      </c>
      <c r="B21" s="693" t="s">
        <v>284</v>
      </c>
      <c r="C21" s="382">
        <v>13</v>
      </c>
      <c r="D21" s="382">
        <v>13</v>
      </c>
      <c r="E21" s="382"/>
      <c r="F21" s="382"/>
      <c r="G21" s="617" t="s">
        <v>259</v>
      </c>
    </row>
    <row r="22" spans="1:11" s="478" customFormat="1" x14ac:dyDescent="0.2">
      <c r="A22" s="30">
        <v>2</v>
      </c>
      <c r="B22" s="693" t="s">
        <v>397</v>
      </c>
      <c r="C22" s="382">
        <v>11</v>
      </c>
      <c r="D22" s="382"/>
      <c r="E22" s="382">
        <v>13</v>
      </c>
      <c r="F22" s="382">
        <v>13</v>
      </c>
      <c r="G22" s="617" t="s">
        <v>146</v>
      </c>
    </row>
    <row r="23" spans="1:11" s="478" customFormat="1" x14ac:dyDescent="0.2">
      <c r="A23" s="30">
        <v>3</v>
      </c>
      <c r="B23" s="693" t="s">
        <v>400</v>
      </c>
      <c r="C23" s="382">
        <v>13</v>
      </c>
      <c r="D23" s="382">
        <v>10</v>
      </c>
      <c r="E23" s="382"/>
      <c r="F23" s="382">
        <v>6</v>
      </c>
      <c r="G23" s="617" t="s">
        <v>260</v>
      </c>
    </row>
    <row r="24" spans="1:11" s="478" customFormat="1" x14ac:dyDescent="0.2">
      <c r="A24" s="30">
        <v>4</v>
      </c>
      <c r="B24" s="476"/>
      <c r="C24" s="382">
        <v>0</v>
      </c>
      <c r="D24" s="382"/>
      <c r="E24" s="382">
        <v>0</v>
      </c>
      <c r="F24" s="382"/>
      <c r="G24" s="451"/>
    </row>
    <row r="25" spans="1:11" s="478" customFormat="1" x14ac:dyDescent="0.2">
      <c r="A25" s="23"/>
      <c r="B25" s="424"/>
      <c r="C25" s="275"/>
      <c r="D25" s="275"/>
      <c r="E25" s="275"/>
      <c r="F25" s="275"/>
      <c r="G25" s="276"/>
    </row>
    <row r="26" spans="1:11" s="478" customFormat="1" x14ac:dyDescent="0.2">
      <c r="A26" s="386" t="s">
        <v>303</v>
      </c>
      <c r="B26" s="460"/>
      <c r="C26" s="460"/>
      <c r="D26" s="460"/>
      <c r="E26" s="460"/>
      <c r="F26" s="460"/>
      <c r="G26" s="460"/>
      <c r="H26" s="460"/>
      <c r="I26" s="460"/>
      <c r="J26" s="460"/>
      <c r="K26" s="460"/>
    </row>
    <row r="27" spans="1:11" s="478" customFormat="1" x14ac:dyDescent="0.2">
      <c r="A27" s="386"/>
      <c r="B27" s="460"/>
      <c r="C27" s="460"/>
      <c r="D27" s="460"/>
      <c r="E27" s="460"/>
      <c r="F27" s="460"/>
      <c r="G27" s="460"/>
      <c r="H27" s="460"/>
      <c r="I27" s="460"/>
      <c r="J27" s="460"/>
      <c r="K27" s="460"/>
    </row>
    <row r="28" spans="1:11" s="478" customFormat="1" x14ac:dyDescent="0.2">
      <c r="A28" s="425" t="s">
        <v>251</v>
      </c>
      <c r="B28" s="460" t="s">
        <v>399</v>
      </c>
      <c r="C28" s="426">
        <v>10</v>
      </c>
      <c r="D28" s="460"/>
      <c r="E28" s="460"/>
      <c r="F28" s="460"/>
      <c r="G28" s="460"/>
      <c r="H28" s="460"/>
      <c r="I28" s="460"/>
      <c r="J28" s="460"/>
      <c r="K28" s="460"/>
    </row>
    <row r="29" spans="1:11" s="478" customFormat="1" x14ac:dyDescent="0.2">
      <c r="A29" s="427"/>
      <c r="B29" s="428"/>
      <c r="C29" s="429" t="s">
        <v>397</v>
      </c>
      <c r="D29" s="461"/>
      <c r="E29" s="460"/>
      <c r="F29" s="426">
        <v>13</v>
      </c>
      <c r="G29" s="460"/>
      <c r="H29" s="460"/>
      <c r="I29" s="460"/>
      <c r="J29" s="460"/>
      <c r="K29" s="460"/>
    </row>
    <row r="30" spans="1:11" s="478" customFormat="1" x14ac:dyDescent="0.2">
      <c r="A30" s="425" t="s">
        <v>254</v>
      </c>
      <c r="B30" s="452" t="s">
        <v>397</v>
      </c>
      <c r="C30" s="433">
        <v>11</v>
      </c>
      <c r="D30" s="460"/>
      <c r="E30" s="434"/>
      <c r="F30" s="460"/>
      <c r="G30" s="460"/>
      <c r="H30" s="460"/>
      <c r="I30" s="460"/>
      <c r="J30" s="460"/>
      <c r="K30" s="460"/>
    </row>
    <row r="31" spans="1:11" s="478" customFormat="1" x14ac:dyDescent="0.2">
      <c r="A31" s="427"/>
      <c r="B31" s="460"/>
      <c r="C31" s="460"/>
      <c r="D31" s="435"/>
      <c r="E31" s="436"/>
      <c r="F31" s="460" t="s">
        <v>397</v>
      </c>
      <c r="G31" s="460"/>
      <c r="H31" s="460"/>
      <c r="I31" s="426">
        <v>13</v>
      </c>
      <c r="J31" s="460"/>
      <c r="K31" s="460"/>
    </row>
    <row r="32" spans="1:11" s="478" customFormat="1" x14ac:dyDescent="0.2">
      <c r="A32" s="425" t="s">
        <v>247</v>
      </c>
      <c r="B32" s="437" t="s">
        <v>398</v>
      </c>
      <c r="C32" s="441">
        <v>13</v>
      </c>
      <c r="D32" s="460"/>
      <c r="E32" s="436"/>
      <c r="F32" s="428"/>
      <c r="G32" s="428"/>
      <c r="H32" s="434"/>
      <c r="I32" s="460"/>
      <c r="J32" s="460"/>
      <c r="K32" s="460"/>
    </row>
    <row r="33" spans="1:11" s="478" customFormat="1" x14ac:dyDescent="0.2">
      <c r="A33" s="427"/>
      <c r="B33" s="428"/>
      <c r="C33" s="459" t="s">
        <v>398</v>
      </c>
      <c r="D33" s="460"/>
      <c r="E33" s="440"/>
      <c r="F33" s="441">
        <v>4</v>
      </c>
      <c r="G33" s="435"/>
      <c r="H33" s="436"/>
      <c r="I33" s="460"/>
      <c r="J33" s="460"/>
      <c r="K33" s="460"/>
    </row>
    <row r="34" spans="1:11" s="478" customFormat="1" x14ac:dyDescent="0.2">
      <c r="A34" s="425"/>
      <c r="B34" s="619" t="s">
        <v>147</v>
      </c>
      <c r="C34" s="442">
        <v>0</v>
      </c>
      <c r="D34" s="428"/>
      <c r="E34" s="460"/>
      <c r="F34" s="435"/>
      <c r="G34" s="435"/>
      <c r="H34" s="436"/>
      <c r="I34" s="460"/>
      <c r="J34" s="460"/>
      <c r="K34" s="460"/>
    </row>
    <row r="35" spans="1:11" s="478" customFormat="1" ht="13.5" thickBot="1" x14ac:dyDescent="0.25">
      <c r="A35" s="427"/>
      <c r="B35" s="460"/>
      <c r="C35" s="460"/>
      <c r="D35" s="460"/>
      <c r="E35" s="460"/>
      <c r="F35" s="435"/>
      <c r="G35" s="435"/>
      <c r="H35" s="436"/>
      <c r="I35" s="460"/>
      <c r="J35" s="460" t="s">
        <v>397</v>
      </c>
      <c r="K35" s="460"/>
    </row>
    <row r="36" spans="1:11" s="478" customFormat="1" x14ac:dyDescent="0.2">
      <c r="A36" s="425" t="s">
        <v>246</v>
      </c>
      <c r="B36" s="460" t="s">
        <v>277</v>
      </c>
      <c r="C36" s="426">
        <v>6</v>
      </c>
      <c r="D36" s="460"/>
      <c r="E36" s="460"/>
      <c r="F36" s="435"/>
      <c r="G36" s="435"/>
      <c r="H36" s="436"/>
      <c r="I36" s="443"/>
      <c r="J36" s="444" t="s">
        <v>148</v>
      </c>
      <c r="K36" s="445"/>
    </row>
    <row r="37" spans="1:11" s="478" customFormat="1" x14ac:dyDescent="0.2">
      <c r="A37" s="427"/>
      <c r="B37" s="428"/>
      <c r="C37" s="429" t="s">
        <v>294</v>
      </c>
      <c r="D37" s="461"/>
      <c r="E37" s="460"/>
      <c r="F37" s="441">
        <v>13</v>
      </c>
      <c r="G37" s="435"/>
      <c r="H37" s="436"/>
      <c r="I37" s="460"/>
      <c r="J37" s="460"/>
      <c r="K37" s="460"/>
    </row>
    <row r="38" spans="1:11" s="478" customFormat="1" ht="13.5" thickBot="1" x14ac:dyDescent="0.25">
      <c r="A38" s="425" t="s">
        <v>252</v>
      </c>
      <c r="B38" s="461" t="s">
        <v>294</v>
      </c>
      <c r="C38" s="433">
        <v>12</v>
      </c>
      <c r="D38" s="460"/>
      <c r="E38" s="434"/>
      <c r="F38" s="435"/>
      <c r="G38" s="435"/>
      <c r="H38" s="436"/>
      <c r="I38" s="460"/>
      <c r="J38" s="446" t="s">
        <v>294</v>
      </c>
      <c r="K38" s="446"/>
    </row>
    <row r="39" spans="1:11" s="478" customFormat="1" x14ac:dyDescent="0.2">
      <c r="A39" s="427"/>
      <c r="B39" s="460"/>
      <c r="C39" s="460"/>
      <c r="D39" s="435"/>
      <c r="E39" s="436"/>
      <c r="F39" s="461" t="s">
        <v>294</v>
      </c>
      <c r="G39" s="461"/>
      <c r="H39" s="440"/>
      <c r="I39" s="426">
        <v>11</v>
      </c>
      <c r="J39" s="444" t="s">
        <v>149</v>
      </c>
      <c r="K39" s="460"/>
    </row>
    <row r="40" spans="1:11" s="478" customFormat="1" x14ac:dyDescent="0.2">
      <c r="A40" s="425" t="s">
        <v>249</v>
      </c>
      <c r="B40" s="460" t="s">
        <v>284</v>
      </c>
      <c r="C40" s="441">
        <v>13</v>
      </c>
      <c r="D40" s="460"/>
      <c r="E40" s="436"/>
      <c r="F40" s="460"/>
      <c r="G40" s="460"/>
      <c r="H40" s="460"/>
      <c r="I40" s="460"/>
      <c r="J40" s="460"/>
      <c r="K40" s="460"/>
    </row>
    <row r="41" spans="1:11" s="478" customFormat="1" x14ac:dyDescent="0.2">
      <c r="A41" s="427"/>
      <c r="B41" s="428"/>
      <c r="C41" s="459" t="s">
        <v>284</v>
      </c>
      <c r="D41" s="460"/>
      <c r="E41" s="440"/>
      <c r="F41" s="426">
        <v>7</v>
      </c>
      <c r="G41" s="460"/>
      <c r="H41" s="460"/>
      <c r="I41" s="460"/>
      <c r="J41" s="460"/>
      <c r="K41" s="460"/>
    </row>
    <row r="42" spans="1:11" s="478" customFormat="1" x14ac:dyDescent="0.2">
      <c r="A42" s="425"/>
      <c r="B42" s="618" t="s">
        <v>147</v>
      </c>
      <c r="C42" s="442">
        <v>0</v>
      </c>
      <c r="D42" s="428"/>
      <c r="E42" s="460"/>
      <c r="F42" s="460"/>
      <c r="G42" s="460"/>
      <c r="H42" s="460"/>
      <c r="I42" s="460"/>
      <c r="J42" s="460"/>
      <c r="K42" s="460"/>
    </row>
    <row r="43" spans="1:11" s="478" customFormat="1" x14ac:dyDescent="0.2">
      <c r="A43" s="460"/>
      <c r="B43" s="460"/>
      <c r="C43" s="460"/>
      <c r="D43" s="460"/>
      <c r="E43" s="460"/>
      <c r="F43" s="460" t="s">
        <v>398</v>
      </c>
      <c r="G43" s="460"/>
      <c r="H43" s="460"/>
      <c r="I43" s="441">
        <v>13</v>
      </c>
      <c r="J43" s="435"/>
      <c r="K43" s="435"/>
    </row>
    <row r="44" spans="1:11" ht="13.5" thickBot="1" x14ac:dyDescent="0.25">
      <c r="A44" s="460"/>
      <c r="B44" s="460"/>
      <c r="C44" s="460"/>
      <c r="D44" s="460"/>
      <c r="E44" s="460"/>
      <c r="F44" s="428"/>
      <c r="G44" s="428"/>
      <c r="H44" s="434"/>
      <c r="I44" s="446"/>
      <c r="J44" s="446" t="s">
        <v>398</v>
      </c>
      <c r="K44" s="446"/>
    </row>
    <row r="45" spans="1:11" x14ac:dyDescent="0.2">
      <c r="A45" s="460"/>
      <c r="B45" s="460"/>
      <c r="C45" s="460"/>
      <c r="D45" s="460"/>
      <c r="E45" s="460"/>
      <c r="F45" s="461" t="s">
        <v>284</v>
      </c>
      <c r="G45" s="461"/>
      <c r="H45" s="440"/>
      <c r="I45" s="426">
        <v>12</v>
      </c>
      <c r="J45" s="447" t="s">
        <v>150</v>
      </c>
      <c r="K45" s="435"/>
    </row>
    <row r="46" spans="1:11" x14ac:dyDescent="0.2">
      <c r="A46" s="460"/>
      <c r="B46" s="460"/>
      <c r="C46" s="460"/>
      <c r="D46" s="460"/>
      <c r="E46" s="460"/>
      <c r="F46" s="460"/>
      <c r="G46" s="460"/>
      <c r="H46" s="460"/>
      <c r="I46" s="460"/>
      <c r="J46" s="435"/>
      <c r="K46" s="435"/>
    </row>
    <row r="47" spans="1:11" ht="13.5" thickBot="1" x14ac:dyDescent="0.25">
      <c r="A47" s="460"/>
      <c r="B47" s="460"/>
      <c r="C47" s="460"/>
      <c r="D47" s="460"/>
      <c r="E47" s="460"/>
      <c r="F47" s="460"/>
      <c r="G47" s="435"/>
      <c r="H47" s="435"/>
      <c r="I47" s="460"/>
      <c r="J47" s="446" t="s">
        <v>284</v>
      </c>
      <c r="K47" s="446"/>
    </row>
    <row r="48" spans="1:11" x14ac:dyDescent="0.2">
      <c r="A48" s="460"/>
      <c r="B48" s="460"/>
      <c r="C48" s="460" t="s">
        <v>399</v>
      </c>
      <c r="D48" s="460"/>
      <c r="E48" s="460"/>
      <c r="F48" s="426">
        <v>13</v>
      </c>
      <c r="G48" s="460"/>
      <c r="H48" s="460"/>
      <c r="I48" s="460"/>
      <c r="J48" s="448" t="s">
        <v>151</v>
      </c>
      <c r="K48" s="460"/>
    </row>
    <row r="49" spans="1:11" x14ac:dyDescent="0.2">
      <c r="A49" s="460"/>
      <c r="B49" s="460"/>
      <c r="C49" s="428"/>
      <c r="D49" s="428"/>
      <c r="E49" s="434"/>
      <c r="F49" s="429" t="s">
        <v>399</v>
      </c>
      <c r="G49" s="461"/>
      <c r="H49" s="461"/>
      <c r="I49" s="623" t="s">
        <v>20</v>
      </c>
      <c r="J49" s="460"/>
      <c r="K49" s="460"/>
    </row>
    <row r="50" spans="1:11" x14ac:dyDescent="0.2">
      <c r="A50" s="460"/>
      <c r="B50" s="460"/>
      <c r="C50" s="618" t="s">
        <v>147</v>
      </c>
      <c r="D50" s="461"/>
      <c r="E50" s="440"/>
      <c r="F50" s="449">
        <v>0</v>
      </c>
      <c r="G50" s="460"/>
      <c r="H50" s="436"/>
      <c r="I50" s="460"/>
      <c r="J50" s="460"/>
      <c r="K50" s="460"/>
    </row>
    <row r="51" spans="1:11" ht="13.5" thickBot="1" x14ac:dyDescent="0.25">
      <c r="A51" s="460"/>
      <c r="B51" s="460"/>
      <c r="C51" s="460"/>
      <c r="D51" s="460"/>
      <c r="E51" s="460"/>
      <c r="F51" s="435"/>
      <c r="G51" s="460"/>
      <c r="H51" s="436"/>
      <c r="I51" s="460"/>
      <c r="J51" s="460" t="s">
        <v>277</v>
      </c>
      <c r="K51" s="460"/>
    </row>
    <row r="52" spans="1:11" x14ac:dyDescent="0.2">
      <c r="A52" s="460"/>
      <c r="B52" s="460"/>
      <c r="C52" s="460" t="s">
        <v>277</v>
      </c>
      <c r="D52" s="460"/>
      <c r="E52" s="460"/>
      <c r="F52" s="441">
        <v>13</v>
      </c>
      <c r="G52" s="460"/>
      <c r="H52" s="436"/>
      <c r="I52" s="443"/>
      <c r="J52" s="444" t="s">
        <v>152</v>
      </c>
      <c r="K52" s="445"/>
    </row>
    <row r="53" spans="1:11" x14ac:dyDescent="0.2">
      <c r="A53" s="460"/>
      <c r="B53" s="460"/>
      <c r="C53" s="428"/>
      <c r="D53" s="428"/>
      <c r="E53" s="434"/>
      <c r="F53" s="459" t="s">
        <v>277</v>
      </c>
      <c r="G53" s="460"/>
      <c r="H53" s="440"/>
      <c r="I53" s="622" t="s">
        <v>20</v>
      </c>
      <c r="J53" s="460"/>
      <c r="K53" s="460"/>
    </row>
    <row r="54" spans="1:11" ht="13.5" thickBot="1" x14ac:dyDescent="0.25">
      <c r="A54" s="460"/>
      <c r="B54" s="460"/>
      <c r="C54" s="618" t="s">
        <v>147</v>
      </c>
      <c r="D54" s="461"/>
      <c r="E54" s="440"/>
      <c r="F54" s="442">
        <v>0</v>
      </c>
      <c r="G54" s="428"/>
      <c r="H54" s="460"/>
      <c r="I54" s="435"/>
      <c r="J54" s="435" t="s">
        <v>399</v>
      </c>
      <c r="K54" s="446"/>
    </row>
    <row r="55" spans="1:11" x14ac:dyDescent="0.2">
      <c r="A55" s="460"/>
      <c r="B55" s="460"/>
      <c r="C55" s="460"/>
      <c r="D55" s="460"/>
      <c r="E55" s="460"/>
      <c r="F55" s="460"/>
      <c r="G55" s="460"/>
      <c r="H55" s="460"/>
      <c r="I55" s="435"/>
      <c r="J55" s="444" t="s">
        <v>153</v>
      </c>
      <c r="K55" s="435"/>
    </row>
    <row r="56" spans="1:11" x14ac:dyDescent="0.2">
      <c r="A56" s="460"/>
      <c r="B56" s="460"/>
      <c r="C56" s="460"/>
      <c r="D56" s="460"/>
      <c r="E56" s="460"/>
      <c r="F56" s="460"/>
      <c r="G56" s="460"/>
      <c r="H56" s="460"/>
      <c r="I56" s="441"/>
      <c r="J56" s="435"/>
      <c r="K56" s="435"/>
    </row>
    <row r="57" spans="1:11" x14ac:dyDescent="0.2">
      <c r="A57" s="585" t="s">
        <v>403</v>
      </c>
      <c r="B57" s="105"/>
      <c r="C57" s="105"/>
      <c r="D57" s="105"/>
      <c r="E57" s="105"/>
      <c r="F57" s="105"/>
      <c r="G57" s="105"/>
      <c r="H57" s="105"/>
      <c r="I57" s="600"/>
      <c r="J57" s="600"/>
      <c r="K57" s="105"/>
    </row>
    <row r="58" spans="1:11" x14ac:dyDescent="0.2">
      <c r="B58" s="389" t="s">
        <v>255</v>
      </c>
      <c r="C58" s="586" t="s">
        <v>282</v>
      </c>
      <c r="D58" s="566"/>
      <c r="E58" s="566"/>
      <c r="F58" s="566">
        <v>10</v>
      </c>
      <c r="H58" s="566"/>
      <c r="I58" s="566"/>
      <c r="J58" s="105"/>
      <c r="K58" s="105"/>
    </row>
    <row r="59" spans="1:11" x14ac:dyDescent="0.2">
      <c r="B59" s="389"/>
      <c r="C59" s="587"/>
      <c r="D59" s="587"/>
      <c r="E59" s="588"/>
      <c r="F59" s="589" t="s">
        <v>400</v>
      </c>
      <c r="H59" s="566"/>
      <c r="I59" s="566">
        <v>13</v>
      </c>
      <c r="J59" s="105"/>
      <c r="K59" s="105"/>
    </row>
    <row r="60" spans="1:11" x14ac:dyDescent="0.2">
      <c r="B60" s="389" t="s">
        <v>267</v>
      </c>
      <c r="C60" s="589" t="s">
        <v>400</v>
      </c>
      <c r="D60" s="589"/>
      <c r="E60" s="590"/>
      <c r="F60" s="566">
        <v>13</v>
      </c>
      <c r="G60" s="625"/>
      <c r="H60" s="588"/>
      <c r="I60" s="566"/>
      <c r="J60" s="105"/>
      <c r="K60" s="105"/>
    </row>
    <row r="61" spans="1:11" ht="13.5" thickBot="1" x14ac:dyDescent="0.25">
      <c r="B61" s="389"/>
      <c r="C61" s="566"/>
      <c r="D61" s="566"/>
      <c r="E61" s="566"/>
      <c r="G61" s="575"/>
      <c r="H61" s="591"/>
      <c r="I61" s="566"/>
      <c r="J61" s="105" t="s">
        <v>400</v>
      </c>
      <c r="K61" s="105"/>
    </row>
    <row r="62" spans="1:11" x14ac:dyDescent="0.2">
      <c r="B62" s="389" t="s">
        <v>264</v>
      </c>
      <c r="C62" s="566" t="s">
        <v>405</v>
      </c>
      <c r="D62" s="566"/>
      <c r="E62" s="566"/>
      <c r="F62" s="566">
        <v>13</v>
      </c>
      <c r="G62" s="8"/>
      <c r="H62" s="591"/>
      <c r="I62" s="592"/>
      <c r="J62" s="581" t="s">
        <v>154</v>
      </c>
      <c r="K62" s="582"/>
    </row>
    <row r="63" spans="1:11" x14ac:dyDescent="0.2">
      <c r="B63" s="389"/>
      <c r="C63" s="587"/>
      <c r="D63" s="587"/>
      <c r="E63" s="588"/>
      <c r="F63" s="566" t="s">
        <v>405</v>
      </c>
      <c r="G63" s="626"/>
      <c r="H63" s="590"/>
      <c r="I63" s="575">
        <v>0</v>
      </c>
      <c r="J63" s="105"/>
      <c r="K63" s="105"/>
    </row>
    <row r="64" spans="1:11" ht="13.5" thickBot="1" x14ac:dyDescent="0.25">
      <c r="B64" s="389"/>
      <c r="C64" s="621" t="s">
        <v>147</v>
      </c>
      <c r="D64" s="589"/>
      <c r="E64" s="590"/>
      <c r="F64" s="587">
        <v>0</v>
      </c>
      <c r="H64" s="566"/>
      <c r="I64" s="575"/>
      <c r="J64" s="600" t="s">
        <v>405</v>
      </c>
      <c r="K64" s="602"/>
    </row>
    <row r="65" spans="1:11" x14ac:dyDescent="0.2">
      <c r="D65" s="566"/>
      <c r="E65" s="566"/>
      <c r="F65" s="566"/>
      <c r="G65" s="566"/>
      <c r="H65" s="566"/>
      <c r="I65" s="575"/>
      <c r="J65" s="581" t="s">
        <v>155</v>
      </c>
      <c r="K65" s="600"/>
    </row>
    <row r="66" spans="1:11" x14ac:dyDescent="0.2">
      <c r="D66" s="566"/>
      <c r="E66" s="566"/>
      <c r="F66" s="566" t="s">
        <v>282</v>
      </c>
      <c r="H66" s="566"/>
      <c r="I66" s="575">
        <v>13</v>
      </c>
      <c r="J66" s="600"/>
      <c r="K66" s="600"/>
    </row>
    <row r="67" spans="1:11" ht="13.5" thickBot="1" x14ac:dyDescent="0.25">
      <c r="D67" s="566"/>
      <c r="E67" s="566"/>
      <c r="F67" s="587"/>
      <c r="G67" s="625"/>
      <c r="H67" s="588"/>
      <c r="I67" s="593"/>
      <c r="J67" s="602" t="s">
        <v>282</v>
      </c>
      <c r="K67" s="602"/>
    </row>
    <row r="68" spans="1:11" x14ac:dyDescent="0.2">
      <c r="D68" s="566"/>
      <c r="E68" s="566"/>
      <c r="F68" s="621" t="s">
        <v>147</v>
      </c>
      <c r="G68" s="626"/>
      <c r="H68" s="590"/>
      <c r="I68" s="566">
        <v>0</v>
      </c>
      <c r="J68" s="584" t="s">
        <v>156</v>
      </c>
      <c r="K68" s="600"/>
    </row>
    <row r="70" spans="1:11" x14ac:dyDescent="0.2">
      <c r="A70" s="201">
        <v>1</v>
      </c>
      <c r="B70" s="32" t="s">
        <v>397</v>
      </c>
    </row>
    <row r="71" spans="1:11" x14ac:dyDescent="0.2">
      <c r="A71" s="201">
        <v>2</v>
      </c>
      <c r="B71" s="616" t="s">
        <v>294</v>
      </c>
    </row>
    <row r="72" spans="1:11" x14ac:dyDescent="0.2">
      <c r="A72" s="201">
        <v>3</v>
      </c>
      <c r="B72" s="624" t="s">
        <v>398</v>
      </c>
    </row>
    <row r="73" spans="1:11" x14ac:dyDescent="0.2">
      <c r="A73" s="201">
        <v>4</v>
      </c>
      <c r="B73" s="620" t="s">
        <v>284</v>
      </c>
    </row>
    <row r="74" spans="1:11" x14ac:dyDescent="0.2">
      <c r="A74" s="201">
        <v>5</v>
      </c>
      <c r="B74" s="620" t="s">
        <v>277</v>
      </c>
    </row>
    <row r="75" spans="1:11" x14ac:dyDescent="0.2">
      <c r="A75" s="201">
        <v>6</v>
      </c>
      <c r="B75" s="620" t="s">
        <v>399</v>
      </c>
    </row>
    <row r="76" spans="1:11" x14ac:dyDescent="0.2">
      <c r="A76" s="201">
        <v>7</v>
      </c>
      <c r="B76" s="620" t="s">
        <v>400</v>
      </c>
    </row>
    <row r="77" spans="1:11" x14ac:dyDescent="0.2">
      <c r="A77" s="201">
        <v>8</v>
      </c>
      <c r="B77" s="620" t="s">
        <v>405</v>
      </c>
    </row>
    <row r="78" spans="1:11" x14ac:dyDescent="0.2">
      <c r="A78" s="614">
        <v>9</v>
      </c>
      <c r="B78" s="620" t="s">
        <v>282</v>
      </c>
    </row>
    <row r="79" spans="1:11" x14ac:dyDescent="0.2">
      <c r="A79" s="478"/>
    </row>
  </sheetData>
  <conditionalFormatting sqref="B28:I56 G61:I61 H58:I60 F58:F60 H62:I64 F62:F64 G65:I65 H66:I68 F66:F68">
    <cfRule type="cellIs" dxfId="124" priority="6" stopIfTrue="1" operator="equal">
      <formula>13</formula>
    </cfRule>
  </conditionalFormatting>
  <conditionalFormatting sqref="C9:G24">
    <cfRule type="cellIs" dxfId="123" priority="3" stopIfTrue="1" operator="equal">
      <formula>13</formula>
    </cfRule>
  </conditionalFormatting>
  <pageMargins left="0.39370078740157483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24" max="16383" man="1"/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96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L1" sqref="L1"/>
    </sheetView>
  </sheetViews>
  <sheetFormatPr defaultRowHeight="12.75" x14ac:dyDescent="0.2"/>
  <cols>
    <col min="1" max="1" width="3.28515625" style="478" customWidth="1"/>
    <col min="2" max="2" width="18.7109375" style="478" bestFit="1" customWidth="1"/>
    <col min="3" max="3" width="7.28515625" style="478" bestFit="1" customWidth="1"/>
    <col min="4" max="4" width="7.42578125" style="478" bestFit="1" customWidth="1"/>
    <col min="5" max="5" width="9.140625" style="478"/>
    <col min="6" max="6" width="6.7109375" style="478" bestFit="1" customWidth="1"/>
    <col min="7" max="7" width="5.140625" style="478" bestFit="1" customWidth="1"/>
    <col min="8" max="8" width="9.140625" style="478" customWidth="1"/>
    <col min="9" max="9" width="3.28515625" style="478" customWidth="1"/>
    <col min="10" max="10" width="16" style="478" customWidth="1"/>
    <col min="11" max="11" width="7.28515625" style="478" bestFit="1" customWidth="1"/>
    <col min="12" max="12" width="7.42578125" style="478" bestFit="1" customWidth="1"/>
    <col min="13" max="13" width="9.140625" style="478"/>
    <col min="14" max="14" width="6.7109375" style="478" bestFit="1" customWidth="1"/>
    <col min="15" max="15" width="5.140625" style="478" bestFit="1" customWidth="1"/>
    <col min="16" max="16" width="11.85546875" style="478" bestFit="1" customWidth="1"/>
    <col min="17" max="16384" width="9.140625" style="478"/>
  </cols>
  <sheetData>
    <row r="1" spans="1:16" x14ac:dyDescent="0.2">
      <c r="A1" s="45" t="str">
        <f>UPPER((Kalend!E19)&amp;" - "&amp;(Kalend!C19)&amp;" - "&amp;(Kalend!D19))</f>
        <v>5 - IDA-VIRUMAA MV - ÜKSIK</v>
      </c>
      <c r="H1" s="297" t="str">
        <f>HYPERLINK("#Kalend!I1","Kalender")</f>
        <v>Kalender</v>
      </c>
      <c r="J1" s="297" t="str">
        <f>HYPERLINK("#Reit!G1","Reiting")</f>
        <v>Reiting</v>
      </c>
    </row>
    <row r="2" spans="1:16" x14ac:dyDescent="0.2">
      <c r="A2" s="478" t="str">
        <f>"Toimumisaeg: "&amp;(Kalend!A19)&amp;" kell "&amp;(Kalend!B19)</f>
        <v>Toimumisaeg: N, 30.06.2016 kell 18:00</v>
      </c>
    </row>
    <row r="3" spans="1:16" x14ac:dyDescent="0.2">
      <c r="A3" s="478" t="str">
        <f>"Toimumiskoht: "&amp;(Kalend!F19)</f>
        <v>Toimumiskoht: K-Nõmme, Eesti Kaevandusmuuseum</v>
      </c>
    </row>
    <row r="4" spans="1:16" x14ac:dyDescent="0.2">
      <c r="A4" s="478" t="str">
        <f>"Korraldaja: "&amp;(Kalend!G19)</f>
        <v xml:space="preserve">Korraldaja: </v>
      </c>
    </row>
    <row r="5" spans="1:16" s="105" customFormat="1" x14ac:dyDescent="0.2"/>
    <row r="6" spans="1:16" s="474" customFormat="1" x14ac:dyDescent="0.2">
      <c r="A6" s="556" t="s">
        <v>271</v>
      </c>
      <c r="B6" s="556"/>
      <c r="C6" s="334" t="s">
        <v>272</v>
      </c>
      <c r="D6" s="334" t="s">
        <v>273</v>
      </c>
      <c r="E6" s="334" t="s">
        <v>274</v>
      </c>
      <c r="F6" s="334" t="s">
        <v>275</v>
      </c>
      <c r="G6" s="334" t="s">
        <v>86</v>
      </c>
      <c r="I6" s="556" t="s">
        <v>369</v>
      </c>
      <c r="J6" s="556"/>
      <c r="K6" s="334" t="s">
        <v>272</v>
      </c>
      <c r="L6" s="334" t="s">
        <v>273</v>
      </c>
      <c r="M6" s="334" t="s">
        <v>274</v>
      </c>
      <c r="N6" s="334" t="s">
        <v>275</v>
      </c>
      <c r="O6" s="334" t="s">
        <v>86</v>
      </c>
    </row>
    <row r="7" spans="1:16" s="474" customFormat="1" x14ac:dyDescent="0.2">
      <c r="A7" s="556">
        <v>1</v>
      </c>
      <c r="B7" s="467" t="s">
        <v>43</v>
      </c>
      <c r="C7" s="557">
        <v>13</v>
      </c>
      <c r="D7" s="470">
        <v>13</v>
      </c>
      <c r="E7" s="557"/>
      <c r="F7" s="557"/>
      <c r="G7" s="597" t="s">
        <v>259</v>
      </c>
      <c r="I7" s="556">
        <v>1</v>
      </c>
      <c r="J7" s="558" t="s">
        <v>44</v>
      </c>
      <c r="K7" s="557">
        <v>13</v>
      </c>
      <c r="L7" s="557">
        <v>13</v>
      </c>
      <c r="M7" s="557"/>
      <c r="N7" s="557"/>
      <c r="O7" s="597" t="s">
        <v>259</v>
      </c>
    </row>
    <row r="8" spans="1:16" s="474" customFormat="1" x14ac:dyDescent="0.2">
      <c r="A8" s="556">
        <v>2</v>
      </c>
      <c r="B8" s="561" t="s">
        <v>51</v>
      </c>
      <c r="C8" s="557">
        <v>7</v>
      </c>
      <c r="D8" s="557"/>
      <c r="E8" s="557">
        <v>13</v>
      </c>
      <c r="F8" s="557">
        <v>13</v>
      </c>
      <c r="G8" s="645" t="s">
        <v>146</v>
      </c>
      <c r="I8" s="556">
        <v>2</v>
      </c>
      <c r="J8" s="467" t="s">
        <v>60</v>
      </c>
      <c r="K8" s="557">
        <v>8</v>
      </c>
      <c r="L8" s="557"/>
      <c r="M8" s="557">
        <v>13</v>
      </c>
      <c r="N8" s="557">
        <v>13</v>
      </c>
      <c r="O8" s="645" t="s">
        <v>146</v>
      </c>
    </row>
    <row r="9" spans="1:16" s="474" customFormat="1" x14ac:dyDescent="0.2">
      <c r="A9" s="556">
        <v>3</v>
      </c>
      <c r="B9" s="467" t="s">
        <v>65</v>
      </c>
      <c r="C9" s="557">
        <v>13</v>
      </c>
      <c r="D9" s="557">
        <v>9</v>
      </c>
      <c r="E9" s="557"/>
      <c r="F9" s="557">
        <v>9</v>
      </c>
      <c r="G9" s="645" t="s">
        <v>260</v>
      </c>
      <c r="I9" s="556">
        <v>3</v>
      </c>
      <c r="J9" s="467" t="s">
        <v>82</v>
      </c>
      <c r="K9" s="557">
        <v>13</v>
      </c>
      <c r="L9" s="557">
        <v>2</v>
      </c>
      <c r="M9" s="557"/>
      <c r="N9" s="557">
        <v>5</v>
      </c>
      <c r="O9" s="645" t="s">
        <v>260</v>
      </c>
      <c r="P9" s="654" t="s">
        <v>419</v>
      </c>
    </row>
    <row r="10" spans="1:16" s="474" customFormat="1" x14ac:dyDescent="0.2">
      <c r="A10" s="556">
        <v>4</v>
      </c>
      <c r="B10" s="559"/>
      <c r="C10" s="557">
        <v>0</v>
      </c>
      <c r="D10" s="557"/>
      <c r="E10" s="557">
        <v>0</v>
      </c>
      <c r="F10" s="557"/>
      <c r="G10" s="597"/>
      <c r="I10" s="556">
        <v>4</v>
      </c>
      <c r="J10" s="559"/>
      <c r="K10" s="557">
        <v>0</v>
      </c>
      <c r="L10" s="557"/>
      <c r="M10" s="557">
        <v>0</v>
      </c>
      <c r="N10" s="557"/>
      <c r="O10" s="597"/>
    </row>
    <row r="11" spans="1:16" s="474" customFormat="1" x14ac:dyDescent="0.2">
      <c r="A11" s="471"/>
      <c r="B11" s="560"/>
      <c r="C11" s="472"/>
      <c r="D11" s="472"/>
      <c r="E11" s="472"/>
      <c r="F11" s="473"/>
      <c r="G11" s="637"/>
      <c r="I11" s="471"/>
      <c r="J11" s="560"/>
      <c r="K11" s="472"/>
      <c r="L11" s="472"/>
      <c r="M11" s="472"/>
      <c r="N11" s="473"/>
      <c r="O11" s="637"/>
    </row>
    <row r="12" spans="1:16" s="474" customFormat="1" x14ac:dyDescent="0.2">
      <c r="A12" s="556" t="s">
        <v>276</v>
      </c>
      <c r="B12" s="556"/>
      <c r="C12" s="334" t="s">
        <v>272</v>
      </c>
      <c r="D12" s="334" t="s">
        <v>273</v>
      </c>
      <c r="E12" s="334" t="s">
        <v>274</v>
      </c>
      <c r="F12" s="334" t="s">
        <v>275</v>
      </c>
      <c r="G12" s="334" t="s">
        <v>86</v>
      </c>
      <c r="I12" s="556" t="s">
        <v>366</v>
      </c>
      <c r="J12" s="556"/>
      <c r="K12" s="334" t="s">
        <v>272</v>
      </c>
      <c r="L12" s="334" t="s">
        <v>273</v>
      </c>
      <c r="M12" s="334" t="s">
        <v>274</v>
      </c>
      <c r="N12" s="334" t="s">
        <v>275</v>
      </c>
      <c r="O12" s="334" t="s">
        <v>86</v>
      </c>
    </row>
    <row r="13" spans="1:16" s="474" customFormat="1" x14ac:dyDescent="0.2">
      <c r="A13" s="556">
        <v>1</v>
      </c>
      <c r="B13" s="467" t="s">
        <v>46</v>
      </c>
      <c r="C13" s="557">
        <v>13</v>
      </c>
      <c r="D13" s="557">
        <v>3</v>
      </c>
      <c r="E13" s="557"/>
      <c r="F13" s="557">
        <v>13</v>
      </c>
      <c r="G13" s="645" t="s">
        <v>146</v>
      </c>
      <c r="I13" s="556">
        <v>1</v>
      </c>
      <c r="J13" s="467" t="s">
        <v>45</v>
      </c>
      <c r="K13" s="557">
        <v>13</v>
      </c>
      <c r="L13" s="557">
        <v>13</v>
      </c>
      <c r="M13" s="557"/>
      <c r="N13" s="557"/>
      <c r="O13" s="486" t="s">
        <v>259</v>
      </c>
    </row>
    <row r="14" spans="1:16" s="474" customFormat="1" x14ac:dyDescent="0.2">
      <c r="A14" s="556">
        <v>2</v>
      </c>
      <c r="B14" s="649" t="s">
        <v>57</v>
      </c>
      <c r="C14" s="557">
        <v>4</v>
      </c>
      <c r="D14" s="557"/>
      <c r="E14" s="557">
        <v>13</v>
      </c>
      <c r="F14" s="557">
        <v>11</v>
      </c>
      <c r="G14" s="645" t="s">
        <v>260</v>
      </c>
      <c r="I14" s="556">
        <v>2</v>
      </c>
      <c r="J14" s="561" t="s">
        <v>55</v>
      </c>
      <c r="K14" s="557">
        <v>13</v>
      </c>
      <c r="L14" s="557">
        <v>8</v>
      </c>
      <c r="M14" s="557"/>
      <c r="N14" s="557">
        <v>10</v>
      </c>
      <c r="O14" s="486" t="s">
        <v>260</v>
      </c>
    </row>
    <row r="15" spans="1:16" s="474" customFormat="1" x14ac:dyDescent="0.2">
      <c r="A15" s="556">
        <v>3</v>
      </c>
      <c r="B15" s="467" t="s">
        <v>339</v>
      </c>
      <c r="C15" s="557">
        <v>13</v>
      </c>
      <c r="D15" s="557">
        <v>13</v>
      </c>
      <c r="E15" s="557"/>
      <c r="F15" s="557"/>
      <c r="G15" s="645" t="s">
        <v>259</v>
      </c>
      <c r="I15" s="556">
        <v>3</v>
      </c>
      <c r="J15" s="467" t="s">
        <v>56</v>
      </c>
      <c r="K15" s="557">
        <v>9</v>
      </c>
      <c r="L15" s="557"/>
      <c r="M15" s="557">
        <v>13</v>
      </c>
      <c r="N15" s="557">
        <v>13</v>
      </c>
      <c r="O15" s="645" t="s">
        <v>146</v>
      </c>
    </row>
    <row r="16" spans="1:16" s="474" customFormat="1" x14ac:dyDescent="0.2">
      <c r="A16" s="556">
        <v>4</v>
      </c>
      <c r="B16" s="559"/>
      <c r="C16" s="557">
        <v>0</v>
      </c>
      <c r="D16" s="557"/>
      <c r="E16" s="557">
        <v>0</v>
      </c>
      <c r="F16" s="557"/>
      <c r="G16" s="597"/>
      <c r="I16" s="556">
        <v>4</v>
      </c>
      <c r="J16" s="559"/>
      <c r="K16" s="557">
        <v>0</v>
      </c>
      <c r="L16" s="557"/>
      <c r="M16" s="557">
        <v>0</v>
      </c>
      <c r="N16" s="557"/>
      <c r="O16" s="597"/>
    </row>
    <row r="17" spans="1:15" s="474" customFormat="1" x14ac:dyDescent="0.2">
      <c r="A17" s="471"/>
      <c r="B17" s="560"/>
      <c r="C17" s="472"/>
      <c r="D17" s="472"/>
      <c r="E17" s="472"/>
      <c r="F17" s="473"/>
      <c r="G17" s="637"/>
    </row>
    <row r="18" spans="1:15" s="474" customFormat="1" x14ac:dyDescent="0.2">
      <c r="A18" s="556" t="s">
        <v>299</v>
      </c>
      <c r="B18" s="556"/>
      <c r="C18" s="334" t="s">
        <v>272</v>
      </c>
      <c r="D18" s="334" t="s">
        <v>273</v>
      </c>
      <c r="E18" s="334" t="s">
        <v>274</v>
      </c>
      <c r="F18" s="334" t="s">
        <v>275</v>
      </c>
      <c r="G18" s="334" t="s">
        <v>86</v>
      </c>
      <c r="I18" s="556" t="s">
        <v>367</v>
      </c>
      <c r="J18" s="556"/>
      <c r="K18" s="334" t="s">
        <v>272</v>
      </c>
      <c r="L18" s="334" t="s">
        <v>273</v>
      </c>
      <c r="M18" s="334" t="s">
        <v>274</v>
      </c>
      <c r="N18" s="334" t="s">
        <v>275</v>
      </c>
      <c r="O18" s="334" t="s">
        <v>86</v>
      </c>
    </row>
    <row r="19" spans="1:15" s="474" customFormat="1" x14ac:dyDescent="0.2">
      <c r="A19" s="556">
        <v>1</v>
      </c>
      <c r="B19" s="558" t="s">
        <v>50</v>
      </c>
      <c r="C19" s="557">
        <v>13</v>
      </c>
      <c r="D19" s="557">
        <v>13</v>
      </c>
      <c r="E19" s="557"/>
      <c r="F19" s="557"/>
      <c r="G19" s="597" t="s">
        <v>259</v>
      </c>
      <c r="I19" s="556">
        <v>1</v>
      </c>
      <c r="J19" s="467" t="s">
        <v>48</v>
      </c>
      <c r="K19" s="557">
        <v>13</v>
      </c>
      <c r="L19" s="557">
        <v>13</v>
      </c>
      <c r="M19" s="557"/>
      <c r="N19" s="557"/>
      <c r="O19" s="645" t="s">
        <v>259</v>
      </c>
    </row>
    <row r="20" spans="1:15" s="474" customFormat="1" x14ac:dyDescent="0.2">
      <c r="A20" s="556">
        <v>2</v>
      </c>
      <c r="B20" s="648" t="s">
        <v>59</v>
      </c>
      <c r="C20" s="557">
        <v>13</v>
      </c>
      <c r="D20" s="557">
        <v>7</v>
      </c>
      <c r="E20" s="557"/>
      <c r="F20" s="557">
        <v>13</v>
      </c>
      <c r="G20" s="645" t="s">
        <v>146</v>
      </c>
      <c r="I20" s="556">
        <v>2</v>
      </c>
      <c r="J20" s="647" t="s">
        <v>54</v>
      </c>
      <c r="K20" s="557">
        <v>13</v>
      </c>
      <c r="L20" s="557">
        <v>5</v>
      </c>
      <c r="M20" s="557"/>
      <c r="N20" s="557">
        <v>9</v>
      </c>
      <c r="O20" s="645" t="s">
        <v>260</v>
      </c>
    </row>
    <row r="21" spans="1:15" s="474" customFormat="1" x14ac:dyDescent="0.2">
      <c r="A21" s="556">
        <v>3</v>
      </c>
      <c r="B21" s="655" t="s">
        <v>349</v>
      </c>
      <c r="C21" s="557">
        <v>7</v>
      </c>
      <c r="D21" s="557"/>
      <c r="E21" s="557">
        <v>13</v>
      </c>
      <c r="F21" s="557">
        <v>2</v>
      </c>
      <c r="G21" s="645" t="s">
        <v>260</v>
      </c>
      <c r="I21" s="556">
        <v>3</v>
      </c>
      <c r="J21" s="649" t="s">
        <v>63</v>
      </c>
      <c r="K21" s="557">
        <v>7</v>
      </c>
      <c r="L21" s="557"/>
      <c r="M21" s="557">
        <v>13</v>
      </c>
      <c r="N21" s="557">
        <v>13</v>
      </c>
      <c r="O21" s="645" t="s">
        <v>146</v>
      </c>
    </row>
    <row r="22" spans="1:15" s="474" customFormat="1" x14ac:dyDescent="0.2">
      <c r="A22" s="556">
        <v>4</v>
      </c>
      <c r="B22" s="559"/>
      <c r="C22" s="557">
        <v>0</v>
      </c>
      <c r="D22" s="557"/>
      <c r="E22" s="557">
        <v>0</v>
      </c>
      <c r="F22" s="557"/>
      <c r="G22" s="597"/>
      <c r="I22" s="556">
        <v>4</v>
      </c>
      <c r="J22" s="467"/>
      <c r="K22" s="557">
        <v>0</v>
      </c>
      <c r="L22" s="557"/>
      <c r="M22" s="557">
        <v>0</v>
      </c>
      <c r="N22" s="557"/>
      <c r="O22" s="597"/>
    </row>
    <row r="23" spans="1:15" s="474" customFormat="1" x14ac:dyDescent="0.2">
      <c r="I23" s="471"/>
      <c r="J23" s="560"/>
      <c r="K23" s="472"/>
      <c r="L23" s="472"/>
      <c r="M23" s="472"/>
      <c r="N23" s="473"/>
      <c r="O23" s="637"/>
    </row>
    <row r="24" spans="1:15" s="474" customFormat="1" x14ac:dyDescent="0.2">
      <c r="A24" s="556" t="s">
        <v>370</v>
      </c>
      <c r="B24" s="556"/>
      <c r="C24" s="334" t="s">
        <v>272</v>
      </c>
      <c r="D24" s="334" t="s">
        <v>273</v>
      </c>
      <c r="E24" s="334" t="s">
        <v>274</v>
      </c>
      <c r="F24" s="334" t="s">
        <v>275</v>
      </c>
      <c r="G24" s="334" t="s">
        <v>86</v>
      </c>
      <c r="I24" s="556" t="s">
        <v>368</v>
      </c>
      <c r="J24" s="556"/>
      <c r="K24" s="334" t="s">
        <v>272</v>
      </c>
      <c r="L24" s="334" t="s">
        <v>273</v>
      </c>
      <c r="M24" s="334" t="s">
        <v>274</v>
      </c>
      <c r="N24" s="334" t="s">
        <v>275</v>
      </c>
      <c r="O24" s="334" t="s">
        <v>86</v>
      </c>
    </row>
    <row r="25" spans="1:15" s="474" customFormat="1" x14ac:dyDescent="0.2">
      <c r="A25" s="556">
        <v>1</v>
      </c>
      <c r="B25" s="467" t="s">
        <v>49</v>
      </c>
      <c r="C25" s="557">
        <v>13</v>
      </c>
      <c r="D25" s="557">
        <v>13</v>
      </c>
      <c r="E25" s="557"/>
      <c r="F25" s="557"/>
      <c r="G25" s="645" t="s">
        <v>259</v>
      </c>
      <c r="I25" s="556">
        <v>1</v>
      </c>
      <c r="J25" s="558" t="s">
        <v>64</v>
      </c>
      <c r="K25" s="557">
        <v>13</v>
      </c>
      <c r="L25" s="557">
        <v>9</v>
      </c>
      <c r="M25" s="557"/>
      <c r="N25" s="557">
        <v>10</v>
      </c>
      <c r="O25" s="645" t="s">
        <v>260</v>
      </c>
    </row>
    <row r="26" spans="1:15" s="474" customFormat="1" x14ac:dyDescent="0.2">
      <c r="A26" s="556">
        <v>2</v>
      </c>
      <c r="B26" s="467" t="s">
        <v>53</v>
      </c>
      <c r="C26" s="557">
        <v>6</v>
      </c>
      <c r="D26" s="557"/>
      <c r="E26" s="557">
        <v>13</v>
      </c>
      <c r="F26" s="557">
        <v>13</v>
      </c>
      <c r="G26" s="486" t="s">
        <v>146</v>
      </c>
      <c r="I26" s="556">
        <v>2</v>
      </c>
      <c r="J26" s="558" t="s">
        <v>47</v>
      </c>
      <c r="K26" s="557">
        <v>8</v>
      </c>
      <c r="L26" s="557"/>
      <c r="M26" s="557">
        <v>13</v>
      </c>
      <c r="N26" s="557">
        <v>13</v>
      </c>
      <c r="O26" s="645" t="s">
        <v>146</v>
      </c>
    </row>
    <row r="27" spans="1:15" s="474" customFormat="1" x14ac:dyDescent="0.2">
      <c r="A27" s="556">
        <v>3</v>
      </c>
      <c r="B27" s="561" t="s">
        <v>69</v>
      </c>
      <c r="C27" s="557">
        <v>13</v>
      </c>
      <c r="D27" s="557">
        <v>12</v>
      </c>
      <c r="E27" s="557"/>
      <c r="F27" s="557">
        <v>6</v>
      </c>
      <c r="G27" s="486" t="s">
        <v>260</v>
      </c>
      <c r="I27" s="556">
        <v>3</v>
      </c>
      <c r="J27" s="558" t="s">
        <v>81</v>
      </c>
      <c r="K27" s="557">
        <v>13</v>
      </c>
      <c r="L27" s="557">
        <v>13</v>
      </c>
      <c r="M27" s="557"/>
      <c r="N27" s="557"/>
      <c r="O27" s="645" t="s">
        <v>259</v>
      </c>
    </row>
    <row r="28" spans="1:15" s="474" customFormat="1" x14ac:dyDescent="0.2">
      <c r="A28" s="556">
        <v>4</v>
      </c>
      <c r="B28" s="651" t="s">
        <v>416</v>
      </c>
      <c r="C28" s="557">
        <v>6</v>
      </c>
      <c r="D28" s="557"/>
      <c r="E28" s="557">
        <v>8</v>
      </c>
      <c r="F28" s="557"/>
      <c r="G28" s="645" t="s">
        <v>261</v>
      </c>
      <c r="I28" s="556">
        <v>4</v>
      </c>
      <c r="J28" s="559"/>
      <c r="K28" s="557">
        <v>0</v>
      </c>
      <c r="L28" s="557"/>
      <c r="M28" s="557">
        <v>0</v>
      </c>
      <c r="N28" s="557"/>
      <c r="O28" s="597"/>
    </row>
    <row r="29" spans="1:15" s="105" customFormat="1" x14ac:dyDescent="0.2"/>
    <row r="30" spans="1:15" s="105" customFormat="1" x14ac:dyDescent="0.2">
      <c r="A30" s="563" t="s">
        <v>278</v>
      </c>
      <c r="B30" s="600"/>
      <c r="C30" s="472"/>
      <c r="D30" s="472"/>
      <c r="E30" s="472"/>
      <c r="F30" s="473"/>
      <c r="G30" s="637"/>
    </row>
    <row r="31" spans="1:15" s="105" customFormat="1" x14ac:dyDescent="0.2"/>
    <row r="32" spans="1:15" s="105" customFormat="1" x14ac:dyDescent="0.2">
      <c r="A32" s="565" t="s">
        <v>247</v>
      </c>
      <c r="B32" s="105" t="s">
        <v>43</v>
      </c>
      <c r="C32" s="566">
        <v>13</v>
      </c>
    </row>
    <row r="33" spans="1:13" s="105" customFormat="1" x14ac:dyDescent="0.2">
      <c r="A33" s="567"/>
      <c r="B33" s="568"/>
      <c r="C33" s="569" t="s">
        <v>43</v>
      </c>
      <c r="D33" s="570"/>
      <c r="F33" s="566">
        <v>13</v>
      </c>
    </row>
    <row r="34" spans="1:13" s="105" customFormat="1" x14ac:dyDescent="0.2">
      <c r="A34" s="567" t="s">
        <v>374</v>
      </c>
      <c r="B34" s="570" t="s">
        <v>56</v>
      </c>
      <c r="C34" s="571">
        <v>10</v>
      </c>
      <c r="E34" s="572"/>
    </row>
    <row r="35" spans="1:13" s="105" customFormat="1" x14ac:dyDescent="0.2">
      <c r="A35" s="567"/>
      <c r="D35" s="600"/>
      <c r="E35" s="573"/>
      <c r="F35" s="603" t="s">
        <v>43</v>
      </c>
      <c r="I35" s="566">
        <v>12</v>
      </c>
    </row>
    <row r="36" spans="1:13" s="105" customFormat="1" x14ac:dyDescent="0.2">
      <c r="A36" s="567" t="s">
        <v>249</v>
      </c>
      <c r="B36" s="105" t="s">
        <v>50</v>
      </c>
      <c r="C36" s="575">
        <v>11</v>
      </c>
      <c r="E36" s="573"/>
      <c r="F36" s="576"/>
      <c r="G36" s="568"/>
      <c r="H36" s="572"/>
    </row>
    <row r="37" spans="1:13" s="105" customFormat="1" x14ac:dyDescent="0.2">
      <c r="A37" s="567"/>
      <c r="B37" s="568"/>
      <c r="C37" s="603" t="s">
        <v>60</v>
      </c>
      <c r="E37" s="577"/>
      <c r="F37" s="575">
        <v>4</v>
      </c>
      <c r="G37" s="600"/>
      <c r="H37" s="573"/>
    </row>
    <row r="38" spans="1:13" s="105" customFormat="1" x14ac:dyDescent="0.2">
      <c r="A38" s="567" t="s">
        <v>253</v>
      </c>
      <c r="B38" s="570" t="s">
        <v>60</v>
      </c>
      <c r="C38" s="578">
        <v>13</v>
      </c>
      <c r="D38" s="568"/>
      <c r="F38" s="600"/>
      <c r="G38" s="600"/>
      <c r="H38" s="573"/>
    </row>
    <row r="39" spans="1:13" s="105" customFormat="1" x14ac:dyDescent="0.2">
      <c r="A39" s="579"/>
      <c r="F39" s="600"/>
      <c r="G39" s="600"/>
      <c r="H39" s="573"/>
      <c r="I39" s="603" t="s">
        <v>48</v>
      </c>
      <c r="K39" s="566">
        <v>11</v>
      </c>
    </row>
    <row r="40" spans="1:13" s="105" customFormat="1" x14ac:dyDescent="0.2">
      <c r="A40" s="565" t="s">
        <v>376</v>
      </c>
      <c r="B40" s="105" t="s">
        <v>48</v>
      </c>
      <c r="C40" s="566">
        <v>13</v>
      </c>
      <c r="F40" s="600"/>
      <c r="G40" s="600"/>
      <c r="H40" s="573"/>
      <c r="I40" s="568"/>
      <c r="J40" s="572"/>
    </row>
    <row r="41" spans="1:13" s="105" customFormat="1" x14ac:dyDescent="0.2">
      <c r="A41" s="567"/>
      <c r="B41" s="568"/>
      <c r="C41" s="569" t="s">
        <v>48</v>
      </c>
      <c r="D41" s="570"/>
      <c r="F41" s="575">
        <v>13</v>
      </c>
      <c r="G41" s="600"/>
      <c r="H41" s="573"/>
      <c r="I41" s="600"/>
      <c r="J41" s="573"/>
    </row>
    <row r="42" spans="1:13" s="105" customFormat="1" x14ac:dyDescent="0.2">
      <c r="A42" s="567" t="s">
        <v>371</v>
      </c>
      <c r="B42" s="570" t="s">
        <v>53</v>
      </c>
      <c r="C42" s="571">
        <v>8</v>
      </c>
      <c r="E42" s="572"/>
      <c r="F42" s="600"/>
      <c r="G42" s="600"/>
      <c r="H42" s="573"/>
      <c r="I42" s="600"/>
      <c r="J42" s="573"/>
    </row>
    <row r="43" spans="1:13" s="105" customFormat="1" x14ac:dyDescent="0.2">
      <c r="A43" s="567"/>
      <c r="D43" s="600"/>
      <c r="E43" s="573"/>
      <c r="F43" s="570" t="s">
        <v>48</v>
      </c>
      <c r="G43" s="570"/>
      <c r="H43" s="577"/>
      <c r="I43" s="575">
        <v>13</v>
      </c>
      <c r="J43" s="573"/>
    </row>
    <row r="44" spans="1:13" s="105" customFormat="1" x14ac:dyDescent="0.2">
      <c r="A44" s="567" t="s">
        <v>251</v>
      </c>
      <c r="B44" s="105" t="s">
        <v>46</v>
      </c>
      <c r="C44" s="575">
        <v>13</v>
      </c>
      <c r="E44" s="573"/>
      <c r="F44" s="603"/>
      <c r="G44" s="600"/>
      <c r="H44" s="600"/>
      <c r="I44" s="600"/>
      <c r="J44" s="573"/>
    </row>
    <row r="45" spans="1:13" s="105" customFormat="1" x14ac:dyDescent="0.2">
      <c r="A45" s="567"/>
      <c r="B45" s="568"/>
      <c r="C45" s="603" t="s">
        <v>46</v>
      </c>
      <c r="E45" s="577"/>
      <c r="F45" s="575">
        <v>5</v>
      </c>
      <c r="I45" s="600"/>
      <c r="J45" s="573"/>
    </row>
    <row r="46" spans="1:13" s="105" customFormat="1" x14ac:dyDescent="0.2">
      <c r="A46" s="567" t="s">
        <v>377</v>
      </c>
      <c r="B46" s="570" t="s">
        <v>81</v>
      </c>
      <c r="C46" s="578">
        <v>12</v>
      </c>
      <c r="D46" s="568"/>
      <c r="F46" s="600"/>
      <c r="G46" s="600"/>
      <c r="H46" s="600"/>
      <c r="I46" s="600"/>
      <c r="J46" s="573"/>
    </row>
    <row r="47" spans="1:13" s="105" customFormat="1" ht="13.5" thickBot="1" x14ac:dyDescent="0.25">
      <c r="I47" s="600"/>
      <c r="J47" s="573"/>
      <c r="L47" s="105" t="s">
        <v>44</v>
      </c>
    </row>
    <row r="48" spans="1:13" s="105" customFormat="1" x14ac:dyDescent="0.2">
      <c r="A48" s="565" t="s">
        <v>246</v>
      </c>
      <c r="B48" s="105" t="s">
        <v>339</v>
      </c>
      <c r="C48" s="566">
        <v>9</v>
      </c>
      <c r="I48" s="600"/>
      <c r="J48" s="573"/>
      <c r="K48" s="580"/>
      <c r="L48" s="581" t="s">
        <v>148</v>
      </c>
      <c r="M48" s="582"/>
    </row>
    <row r="49" spans="1:13" s="105" customFormat="1" x14ac:dyDescent="0.2">
      <c r="A49" s="567"/>
      <c r="B49" s="568"/>
      <c r="C49" s="569" t="s">
        <v>47</v>
      </c>
      <c r="D49" s="570"/>
      <c r="F49" s="566">
        <v>11</v>
      </c>
      <c r="I49" s="600"/>
      <c r="J49" s="573"/>
    </row>
    <row r="50" spans="1:13" s="105" customFormat="1" x14ac:dyDescent="0.2">
      <c r="A50" s="567" t="s">
        <v>372</v>
      </c>
      <c r="B50" s="570" t="s">
        <v>47</v>
      </c>
      <c r="C50" s="571">
        <v>13</v>
      </c>
      <c r="E50" s="572"/>
      <c r="I50" s="600"/>
      <c r="J50" s="573"/>
    </row>
    <row r="51" spans="1:13" s="105" customFormat="1" x14ac:dyDescent="0.2">
      <c r="A51" s="567"/>
      <c r="D51" s="600"/>
      <c r="E51" s="573"/>
      <c r="F51" s="105" t="s">
        <v>44</v>
      </c>
      <c r="I51" s="575">
        <v>13</v>
      </c>
      <c r="J51" s="573"/>
    </row>
    <row r="52" spans="1:13" s="105" customFormat="1" x14ac:dyDescent="0.2">
      <c r="A52" s="567" t="s">
        <v>254</v>
      </c>
      <c r="B52" s="105" t="s">
        <v>59</v>
      </c>
      <c r="C52" s="575">
        <v>8</v>
      </c>
      <c r="E52" s="573"/>
      <c r="F52" s="576"/>
      <c r="G52" s="568"/>
      <c r="H52" s="572"/>
      <c r="I52" s="600"/>
      <c r="J52" s="573"/>
    </row>
    <row r="53" spans="1:13" s="105" customFormat="1" x14ac:dyDescent="0.2">
      <c r="A53" s="567"/>
      <c r="B53" s="568"/>
      <c r="C53" s="603" t="s">
        <v>44</v>
      </c>
      <c r="E53" s="577"/>
      <c r="F53" s="575">
        <v>13</v>
      </c>
      <c r="G53" s="600"/>
      <c r="H53" s="573"/>
      <c r="I53" s="600"/>
      <c r="J53" s="573"/>
    </row>
    <row r="54" spans="1:13" s="105" customFormat="1" x14ac:dyDescent="0.2">
      <c r="A54" s="567" t="s">
        <v>248</v>
      </c>
      <c r="B54" s="570" t="s">
        <v>44</v>
      </c>
      <c r="C54" s="578">
        <v>13</v>
      </c>
      <c r="D54" s="568"/>
      <c r="F54" s="600"/>
      <c r="G54" s="600"/>
      <c r="H54" s="573"/>
      <c r="I54" s="600"/>
      <c r="J54" s="573"/>
    </row>
    <row r="55" spans="1:13" s="105" customFormat="1" x14ac:dyDescent="0.2">
      <c r="F55" s="600"/>
      <c r="G55" s="600"/>
      <c r="H55" s="573"/>
      <c r="I55" s="570" t="s">
        <v>44</v>
      </c>
      <c r="J55" s="577"/>
      <c r="K55" s="566">
        <v>13</v>
      </c>
    </row>
    <row r="56" spans="1:13" s="105" customFormat="1" ht="13.5" thickBot="1" x14ac:dyDescent="0.25">
      <c r="A56" s="565" t="s">
        <v>373</v>
      </c>
      <c r="B56" s="105" t="s">
        <v>63</v>
      </c>
      <c r="C56" s="566">
        <v>3</v>
      </c>
      <c r="F56" s="600"/>
      <c r="G56" s="600"/>
      <c r="H56" s="573"/>
      <c r="L56" s="600" t="s">
        <v>48</v>
      </c>
      <c r="M56" s="602"/>
    </row>
    <row r="57" spans="1:13" s="105" customFormat="1" x14ac:dyDescent="0.2">
      <c r="A57" s="567"/>
      <c r="B57" s="568"/>
      <c r="C57" s="569" t="s">
        <v>49</v>
      </c>
      <c r="D57" s="570"/>
      <c r="F57" s="575">
        <v>13</v>
      </c>
      <c r="G57" s="600"/>
      <c r="H57" s="573"/>
      <c r="L57" s="581" t="s">
        <v>149</v>
      </c>
      <c r="M57" s="600"/>
    </row>
    <row r="58" spans="1:13" s="105" customFormat="1" x14ac:dyDescent="0.2">
      <c r="A58" s="567" t="s">
        <v>378</v>
      </c>
      <c r="B58" s="570" t="s">
        <v>49</v>
      </c>
      <c r="C58" s="571">
        <v>13</v>
      </c>
      <c r="E58" s="572"/>
      <c r="F58" s="600"/>
      <c r="G58" s="600"/>
      <c r="H58" s="573"/>
    </row>
    <row r="59" spans="1:13" s="105" customFormat="1" x14ac:dyDescent="0.2">
      <c r="A59" s="567"/>
      <c r="D59" s="600"/>
      <c r="E59" s="573"/>
      <c r="F59" s="570" t="s">
        <v>49</v>
      </c>
      <c r="G59" s="570"/>
      <c r="H59" s="577"/>
      <c r="I59" s="566">
        <v>5</v>
      </c>
    </row>
    <row r="60" spans="1:13" s="105" customFormat="1" x14ac:dyDescent="0.2">
      <c r="A60" s="567" t="s">
        <v>375</v>
      </c>
      <c r="B60" s="105" t="s">
        <v>45</v>
      </c>
      <c r="C60" s="575">
        <v>4</v>
      </c>
      <c r="E60" s="573"/>
      <c r="F60" s="603"/>
      <c r="G60" s="600"/>
      <c r="H60" s="600"/>
    </row>
    <row r="61" spans="1:13" s="105" customFormat="1" x14ac:dyDescent="0.2">
      <c r="A61" s="567"/>
      <c r="B61" s="568"/>
      <c r="C61" s="603" t="s">
        <v>51</v>
      </c>
      <c r="E61" s="577"/>
      <c r="F61" s="575">
        <v>7</v>
      </c>
      <c r="I61" s="105" t="s">
        <v>43</v>
      </c>
      <c r="K61" s="575">
        <v>10</v>
      </c>
    </row>
    <row r="62" spans="1:13" s="105" customFormat="1" ht="13.5" thickBot="1" x14ac:dyDescent="0.25">
      <c r="A62" s="567" t="s">
        <v>252</v>
      </c>
      <c r="B62" s="570" t="s">
        <v>51</v>
      </c>
      <c r="C62" s="578">
        <v>13</v>
      </c>
      <c r="D62" s="568"/>
      <c r="F62" s="600"/>
      <c r="G62" s="600"/>
      <c r="H62" s="600"/>
      <c r="I62" s="568"/>
      <c r="J62" s="572"/>
      <c r="K62" s="602"/>
      <c r="L62" s="602" t="s">
        <v>49</v>
      </c>
      <c r="M62" s="602"/>
    </row>
    <row r="63" spans="1:13" s="105" customFormat="1" x14ac:dyDescent="0.2">
      <c r="H63" s="600"/>
      <c r="I63" s="570" t="s">
        <v>49</v>
      </c>
      <c r="J63" s="577"/>
      <c r="K63" s="566">
        <v>13</v>
      </c>
      <c r="L63" s="584" t="s">
        <v>150</v>
      </c>
      <c r="M63" s="600"/>
    </row>
    <row r="64" spans="1:13" s="105" customFormat="1" x14ac:dyDescent="0.2">
      <c r="H64" s="600"/>
      <c r="L64" s="600"/>
      <c r="M64" s="600"/>
    </row>
    <row r="65" spans="1:13" s="105" customFormat="1" ht="13.5" thickBot="1" x14ac:dyDescent="0.25">
      <c r="H65" s="600"/>
      <c r="I65" s="600"/>
      <c r="J65" s="600"/>
      <c r="L65" s="602" t="s">
        <v>43</v>
      </c>
      <c r="M65" s="602"/>
    </row>
    <row r="66" spans="1:13" s="105" customFormat="1" x14ac:dyDescent="0.2">
      <c r="I66" s="600"/>
      <c r="J66" s="600"/>
      <c r="L66" s="579" t="s">
        <v>151</v>
      </c>
    </row>
    <row r="67" spans="1:13" s="105" customFormat="1" x14ac:dyDescent="0.2">
      <c r="I67" s="600"/>
      <c r="J67" s="600"/>
      <c r="L67" s="579"/>
    </row>
    <row r="68" spans="1:13" s="105" customFormat="1" x14ac:dyDescent="0.2">
      <c r="A68" s="585" t="s">
        <v>279</v>
      </c>
      <c r="I68" s="600"/>
      <c r="J68" s="600"/>
      <c r="L68" s="579"/>
    </row>
    <row r="69" spans="1:13" s="105" customFormat="1" x14ac:dyDescent="0.2">
      <c r="A69" s="585"/>
      <c r="I69" s="600"/>
      <c r="J69" s="600"/>
      <c r="L69" s="579"/>
    </row>
    <row r="70" spans="1:13" s="105" customFormat="1" x14ac:dyDescent="0.2">
      <c r="F70" s="586" t="s">
        <v>60</v>
      </c>
      <c r="G70" s="566"/>
      <c r="H70" s="566"/>
      <c r="I70" s="566">
        <v>3</v>
      </c>
      <c r="J70" s="566"/>
      <c r="K70" s="566"/>
    </row>
    <row r="71" spans="1:13" s="105" customFormat="1" x14ac:dyDescent="0.2">
      <c r="F71" s="587"/>
      <c r="G71" s="587"/>
      <c r="H71" s="588"/>
      <c r="I71" s="621" t="s">
        <v>46</v>
      </c>
      <c r="J71" s="566"/>
      <c r="K71" s="566">
        <v>0</v>
      </c>
    </row>
    <row r="72" spans="1:13" s="105" customFormat="1" x14ac:dyDescent="0.2">
      <c r="F72" s="621" t="s">
        <v>46</v>
      </c>
      <c r="G72" s="621"/>
      <c r="H72" s="590"/>
      <c r="I72" s="566">
        <v>13</v>
      </c>
      <c r="J72" s="588"/>
      <c r="K72" s="566"/>
    </row>
    <row r="73" spans="1:13" s="105" customFormat="1" ht="13.5" thickBot="1" x14ac:dyDescent="0.25">
      <c r="F73" s="566"/>
      <c r="G73" s="566"/>
      <c r="H73" s="566"/>
      <c r="I73" s="575"/>
      <c r="J73" s="591"/>
      <c r="K73" s="566"/>
      <c r="L73" s="662" t="s">
        <v>51</v>
      </c>
    </row>
    <row r="74" spans="1:13" s="105" customFormat="1" x14ac:dyDescent="0.2">
      <c r="F74" s="566" t="s">
        <v>47</v>
      </c>
      <c r="G74" s="566"/>
      <c r="H74" s="566"/>
      <c r="I74" s="566">
        <v>3</v>
      </c>
      <c r="J74" s="591"/>
      <c r="K74" s="592"/>
      <c r="L74" s="581" t="s">
        <v>152</v>
      </c>
      <c r="M74" s="582"/>
    </row>
    <row r="75" spans="1:13" s="105" customFormat="1" x14ac:dyDescent="0.2">
      <c r="F75" s="587"/>
      <c r="G75" s="587"/>
      <c r="H75" s="588"/>
      <c r="I75" s="566" t="s">
        <v>51</v>
      </c>
      <c r="J75" s="590"/>
      <c r="K75" s="575">
        <v>13</v>
      </c>
    </row>
    <row r="76" spans="1:13" s="105" customFormat="1" ht="13.5" thickBot="1" x14ac:dyDescent="0.25">
      <c r="F76" s="621" t="s">
        <v>51</v>
      </c>
      <c r="G76" s="621"/>
      <c r="H76" s="590"/>
      <c r="I76" s="587">
        <v>13</v>
      </c>
      <c r="J76" s="566"/>
      <c r="K76" s="575"/>
      <c r="L76" s="663" t="s">
        <v>46</v>
      </c>
      <c r="M76" s="602"/>
    </row>
    <row r="77" spans="1:13" s="105" customFormat="1" x14ac:dyDescent="0.2">
      <c r="F77" s="566"/>
      <c r="G77" s="566"/>
      <c r="H77" s="566"/>
      <c r="I77" s="566"/>
      <c r="J77" s="566"/>
      <c r="K77" s="575"/>
      <c r="L77" s="581" t="s">
        <v>153</v>
      </c>
      <c r="M77" s="600"/>
    </row>
    <row r="78" spans="1:13" s="105" customFormat="1" x14ac:dyDescent="0.2">
      <c r="F78" s="566"/>
      <c r="G78" s="566"/>
      <c r="H78" s="575"/>
      <c r="I78" s="566" t="s">
        <v>60</v>
      </c>
      <c r="J78" s="566"/>
      <c r="K78" s="575">
        <v>0</v>
      </c>
      <c r="L78" s="600"/>
      <c r="M78" s="600"/>
    </row>
    <row r="79" spans="1:13" s="105" customFormat="1" ht="13.5" thickBot="1" x14ac:dyDescent="0.25">
      <c r="F79" s="566"/>
      <c r="G79" s="566"/>
      <c r="H79" s="575"/>
      <c r="I79" s="587"/>
      <c r="J79" s="588"/>
      <c r="K79" s="593"/>
      <c r="L79" s="602" t="s">
        <v>47</v>
      </c>
      <c r="M79" s="602"/>
    </row>
    <row r="80" spans="1:13" s="105" customFormat="1" x14ac:dyDescent="0.2">
      <c r="F80" s="566"/>
      <c r="G80" s="566"/>
      <c r="H80" s="575"/>
      <c r="I80" s="621" t="s">
        <v>47</v>
      </c>
      <c r="J80" s="590"/>
      <c r="K80" s="566">
        <v>13</v>
      </c>
      <c r="L80" s="584" t="s">
        <v>154</v>
      </c>
      <c r="M80" s="600"/>
    </row>
    <row r="81" spans="1:13" s="105" customFormat="1" x14ac:dyDescent="0.2">
      <c r="H81" s="600"/>
      <c r="L81" s="600"/>
      <c r="M81" s="600"/>
    </row>
    <row r="82" spans="1:13" s="105" customFormat="1" ht="13.5" thickBot="1" x14ac:dyDescent="0.25">
      <c r="F82" s="579"/>
      <c r="I82" s="600"/>
      <c r="J82" s="600"/>
      <c r="L82" s="602" t="s">
        <v>60</v>
      </c>
      <c r="M82" s="602"/>
    </row>
    <row r="83" spans="1:13" s="105" customFormat="1" x14ac:dyDescent="0.2">
      <c r="F83" s="579"/>
      <c r="I83" s="600"/>
      <c r="J83" s="600"/>
      <c r="L83" s="584" t="s">
        <v>155</v>
      </c>
    </row>
    <row r="84" spans="1:13" s="105" customFormat="1" x14ac:dyDescent="0.2">
      <c r="F84" s="579"/>
      <c r="I84" s="600"/>
      <c r="J84" s="600"/>
      <c r="L84" s="584"/>
    </row>
    <row r="85" spans="1:13" s="105" customFormat="1" x14ac:dyDescent="0.2">
      <c r="A85" s="594" t="s">
        <v>250</v>
      </c>
    </row>
    <row r="86" spans="1:13" s="105" customFormat="1" x14ac:dyDescent="0.2">
      <c r="A86" s="595"/>
    </row>
    <row r="87" spans="1:13" s="105" customFormat="1" x14ac:dyDescent="0.2">
      <c r="B87" s="600"/>
      <c r="C87" s="570" t="s">
        <v>56</v>
      </c>
      <c r="D87" s="600"/>
      <c r="F87" s="566">
        <v>13</v>
      </c>
    </row>
    <row r="88" spans="1:13" s="105" customFormat="1" x14ac:dyDescent="0.2">
      <c r="B88" s="600"/>
      <c r="C88" s="568"/>
      <c r="D88" s="568"/>
      <c r="E88" s="572"/>
      <c r="F88" s="603" t="s">
        <v>56</v>
      </c>
      <c r="I88" s="566">
        <v>5</v>
      </c>
    </row>
    <row r="89" spans="1:13" s="105" customFormat="1" x14ac:dyDescent="0.2">
      <c r="B89" s="600"/>
      <c r="C89" s="570" t="s">
        <v>50</v>
      </c>
      <c r="D89" s="570"/>
      <c r="E89" s="577"/>
      <c r="F89" s="587">
        <v>3</v>
      </c>
      <c r="G89" s="568"/>
      <c r="H89" s="572"/>
    </row>
    <row r="90" spans="1:13" s="105" customFormat="1" x14ac:dyDescent="0.2">
      <c r="B90" s="600"/>
      <c r="F90" s="600"/>
      <c r="G90" s="600"/>
      <c r="H90" s="573"/>
      <c r="I90" s="603" t="s">
        <v>81</v>
      </c>
      <c r="K90" s="566">
        <v>0</v>
      </c>
    </row>
    <row r="91" spans="1:13" s="105" customFormat="1" x14ac:dyDescent="0.2">
      <c r="B91" s="600"/>
      <c r="C91" s="570" t="s">
        <v>53</v>
      </c>
      <c r="D91" s="570"/>
      <c r="F91" s="575">
        <v>5</v>
      </c>
      <c r="G91" s="600"/>
      <c r="H91" s="573"/>
      <c r="I91" s="576"/>
      <c r="J91" s="572"/>
    </row>
    <row r="92" spans="1:13" s="105" customFormat="1" x14ac:dyDescent="0.2">
      <c r="B92" s="600"/>
      <c r="D92" s="600"/>
      <c r="E92" s="572"/>
      <c r="F92" s="570" t="s">
        <v>81</v>
      </c>
      <c r="G92" s="570"/>
      <c r="H92" s="577"/>
      <c r="I92" s="575">
        <v>13</v>
      </c>
      <c r="J92" s="573"/>
    </row>
    <row r="93" spans="1:13" s="105" customFormat="1" x14ac:dyDescent="0.2">
      <c r="B93" s="600"/>
      <c r="C93" s="600" t="s">
        <v>81</v>
      </c>
      <c r="E93" s="577"/>
      <c r="F93" s="575">
        <v>13</v>
      </c>
      <c r="I93" s="600"/>
      <c r="J93" s="573"/>
    </row>
    <row r="94" spans="1:13" s="105" customFormat="1" x14ac:dyDescent="0.2">
      <c r="B94" s="600"/>
      <c r="C94" s="587"/>
      <c r="D94" s="568"/>
      <c r="F94" s="600"/>
      <c r="G94" s="600"/>
      <c r="H94" s="600"/>
      <c r="I94" s="600"/>
      <c r="J94" s="573"/>
    </row>
    <row r="95" spans="1:13" s="105" customFormat="1" ht="13.5" thickBot="1" x14ac:dyDescent="0.25">
      <c r="B95" s="600"/>
      <c r="C95" s="600" t="s">
        <v>339</v>
      </c>
      <c r="D95" s="600"/>
      <c r="F95" s="566">
        <v>11</v>
      </c>
      <c r="J95" s="573"/>
      <c r="L95" s="105" t="s">
        <v>45</v>
      </c>
    </row>
    <row r="96" spans="1:13" s="105" customFormat="1" x14ac:dyDescent="0.2">
      <c r="B96" s="600"/>
      <c r="C96" s="568"/>
      <c r="D96" s="568"/>
      <c r="E96" s="572"/>
      <c r="F96" s="603" t="s">
        <v>59</v>
      </c>
      <c r="I96" s="566">
        <v>11</v>
      </c>
      <c r="J96" s="573"/>
      <c r="K96" s="582"/>
      <c r="L96" s="581" t="s">
        <v>156</v>
      </c>
      <c r="M96" s="582"/>
    </row>
    <row r="97" spans="2:13" s="105" customFormat="1" x14ac:dyDescent="0.2">
      <c r="B97" s="600"/>
      <c r="C97" s="570" t="s">
        <v>59</v>
      </c>
      <c r="D97" s="570"/>
      <c r="E97" s="577"/>
      <c r="F97" s="587">
        <v>13</v>
      </c>
      <c r="G97" s="568"/>
      <c r="H97" s="572"/>
      <c r="J97" s="573"/>
    </row>
    <row r="98" spans="2:13" s="105" customFormat="1" ht="13.5" thickBot="1" x14ac:dyDescent="0.25">
      <c r="B98" s="600"/>
      <c r="F98" s="600"/>
      <c r="G98" s="600"/>
      <c r="H98" s="573"/>
      <c r="I98" s="603" t="s">
        <v>45</v>
      </c>
      <c r="J98" s="577"/>
      <c r="K98" s="566">
        <v>13</v>
      </c>
      <c r="L98" s="600" t="s">
        <v>81</v>
      </c>
      <c r="M98" s="602"/>
    </row>
    <row r="99" spans="2:13" s="105" customFormat="1" x14ac:dyDescent="0.2">
      <c r="B99" s="600"/>
      <c r="C99" s="570" t="s">
        <v>63</v>
      </c>
      <c r="D99" s="570"/>
      <c r="F99" s="575">
        <v>6</v>
      </c>
      <c r="G99" s="600"/>
      <c r="H99" s="573"/>
      <c r="I99" s="576"/>
      <c r="J99" s="568"/>
      <c r="L99" s="581" t="s">
        <v>157</v>
      </c>
      <c r="M99" s="600"/>
    </row>
    <row r="100" spans="2:13" s="105" customFormat="1" x14ac:dyDescent="0.2">
      <c r="B100" s="600"/>
      <c r="D100" s="600"/>
      <c r="E100" s="572"/>
      <c r="F100" s="570" t="s">
        <v>45</v>
      </c>
      <c r="G100" s="570"/>
      <c r="H100" s="577"/>
      <c r="I100" s="575">
        <v>13</v>
      </c>
      <c r="J100" s="600"/>
    </row>
    <row r="101" spans="2:13" s="105" customFormat="1" x14ac:dyDescent="0.2">
      <c r="B101" s="600"/>
      <c r="C101" s="600" t="s">
        <v>45</v>
      </c>
      <c r="E101" s="577"/>
      <c r="F101" s="575">
        <v>13</v>
      </c>
      <c r="I101" s="600"/>
      <c r="J101" s="600"/>
    </row>
    <row r="102" spans="2:13" s="105" customFormat="1" x14ac:dyDescent="0.2">
      <c r="B102" s="600"/>
      <c r="C102" s="587"/>
      <c r="D102" s="568"/>
      <c r="F102" s="600"/>
      <c r="G102" s="600"/>
      <c r="H102" s="600"/>
      <c r="I102" s="105" t="s">
        <v>56</v>
      </c>
      <c r="K102" s="575">
        <v>0</v>
      </c>
    </row>
    <row r="103" spans="2:13" s="105" customFormat="1" ht="13.5" thickBot="1" x14ac:dyDescent="0.25">
      <c r="B103" s="600"/>
      <c r="F103" s="600"/>
      <c r="G103" s="600"/>
      <c r="H103" s="600"/>
      <c r="I103" s="568"/>
      <c r="J103" s="572"/>
      <c r="K103" s="602"/>
      <c r="L103" s="602" t="s">
        <v>59</v>
      </c>
      <c r="M103" s="602"/>
    </row>
    <row r="104" spans="2:13" s="105" customFormat="1" x14ac:dyDescent="0.2">
      <c r="B104" s="600"/>
      <c r="C104" s="566"/>
      <c r="F104" s="600"/>
      <c r="G104" s="600"/>
      <c r="H104" s="600"/>
      <c r="I104" s="570" t="s">
        <v>59</v>
      </c>
      <c r="J104" s="577"/>
      <c r="K104" s="566">
        <v>13</v>
      </c>
      <c r="L104" s="584" t="s">
        <v>158</v>
      </c>
      <c r="M104" s="600"/>
    </row>
    <row r="105" spans="2:13" s="105" customFormat="1" x14ac:dyDescent="0.2">
      <c r="B105" s="600"/>
      <c r="C105" s="600"/>
      <c r="D105" s="600"/>
      <c r="E105" s="600"/>
      <c r="F105" s="575"/>
      <c r="G105" s="600"/>
      <c r="H105" s="600"/>
      <c r="L105" s="600"/>
      <c r="M105" s="600"/>
    </row>
    <row r="106" spans="2:13" s="105" customFormat="1" ht="13.5" thickBot="1" x14ac:dyDescent="0.25">
      <c r="B106" s="600"/>
      <c r="C106" s="575"/>
      <c r="D106" s="600"/>
      <c r="E106" s="600"/>
      <c r="F106" s="600"/>
      <c r="G106" s="600"/>
      <c r="H106" s="600"/>
      <c r="I106" s="600"/>
      <c r="J106" s="600"/>
      <c r="L106" s="602" t="s">
        <v>56</v>
      </c>
      <c r="M106" s="602"/>
    </row>
    <row r="107" spans="2:13" s="105" customFormat="1" x14ac:dyDescent="0.2">
      <c r="B107" s="600"/>
      <c r="C107" s="600"/>
      <c r="D107" s="600"/>
      <c r="E107" s="600"/>
      <c r="F107" s="600"/>
      <c r="G107" s="600"/>
      <c r="H107" s="600"/>
      <c r="I107" s="600"/>
      <c r="J107" s="600"/>
      <c r="L107" s="579" t="s">
        <v>159</v>
      </c>
    </row>
    <row r="108" spans="2:13" s="105" customFormat="1" x14ac:dyDescent="0.2">
      <c r="B108" s="600"/>
      <c r="C108" s="600"/>
      <c r="D108" s="600"/>
      <c r="E108" s="600"/>
      <c r="F108" s="600"/>
      <c r="G108" s="600"/>
      <c r="H108" s="600"/>
      <c r="I108" s="600"/>
      <c r="J108" s="600"/>
      <c r="L108" s="579"/>
    </row>
    <row r="109" spans="2:13" s="105" customFormat="1" x14ac:dyDescent="0.2">
      <c r="B109" s="600"/>
      <c r="C109" s="575"/>
      <c r="D109" s="600"/>
      <c r="E109" s="600"/>
      <c r="F109" s="600" t="s">
        <v>50</v>
      </c>
      <c r="I109" s="566">
        <v>13</v>
      </c>
    </row>
    <row r="110" spans="2:13" s="105" customFormat="1" x14ac:dyDescent="0.2">
      <c r="B110" s="600"/>
      <c r="C110" s="600"/>
      <c r="D110" s="600"/>
      <c r="E110" s="600"/>
      <c r="F110" s="568"/>
      <c r="G110" s="568"/>
      <c r="H110" s="572"/>
      <c r="I110" s="603" t="s">
        <v>50</v>
      </c>
      <c r="K110" s="661">
        <v>0</v>
      </c>
    </row>
    <row r="111" spans="2:13" s="105" customFormat="1" x14ac:dyDescent="0.2">
      <c r="B111" s="600"/>
      <c r="E111" s="600"/>
      <c r="F111" s="570" t="s">
        <v>53</v>
      </c>
      <c r="G111" s="570"/>
      <c r="H111" s="577"/>
      <c r="I111" s="578">
        <v>0</v>
      </c>
      <c r="J111" s="572"/>
    </row>
    <row r="112" spans="2:13" s="105" customFormat="1" ht="13.5" thickBot="1" x14ac:dyDescent="0.25">
      <c r="E112" s="600"/>
      <c r="F112" s="566"/>
      <c r="J112" s="573"/>
      <c r="L112" s="105" t="s">
        <v>339</v>
      </c>
    </row>
    <row r="113" spans="1:13" s="105" customFormat="1" x14ac:dyDescent="0.2">
      <c r="E113" s="600"/>
      <c r="F113" s="600" t="s">
        <v>339</v>
      </c>
      <c r="I113" s="566">
        <v>13</v>
      </c>
      <c r="J113" s="573"/>
      <c r="K113" s="582"/>
      <c r="L113" s="581" t="s">
        <v>160</v>
      </c>
      <c r="M113" s="582"/>
    </row>
    <row r="114" spans="1:13" s="105" customFormat="1" x14ac:dyDescent="0.2">
      <c r="E114" s="600"/>
      <c r="F114" s="568"/>
      <c r="G114" s="568"/>
      <c r="H114" s="572"/>
      <c r="I114" s="603" t="s">
        <v>339</v>
      </c>
      <c r="J114" s="577"/>
      <c r="K114" s="566">
        <v>13</v>
      </c>
    </row>
    <row r="115" spans="1:13" s="105" customFormat="1" ht="13.5" thickBot="1" x14ac:dyDescent="0.25">
      <c r="E115" s="600"/>
      <c r="F115" s="570" t="s">
        <v>63</v>
      </c>
      <c r="G115" s="570"/>
      <c r="H115" s="577"/>
      <c r="I115" s="578">
        <v>0</v>
      </c>
      <c r="J115" s="600"/>
      <c r="L115" s="600" t="s">
        <v>50</v>
      </c>
      <c r="M115" s="602"/>
    </row>
    <row r="116" spans="1:13" s="105" customFormat="1" x14ac:dyDescent="0.2">
      <c r="E116" s="600"/>
      <c r="F116" s="575"/>
      <c r="I116" s="600"/>
      <c r="J116" s="600"/>
      <c r="L116" s="581" t="s">
        <v>161</v>
      </c>
    </row>
    <row r="117" spans="1:13" s="105" customFormat="1" x14ac:dyDescent="0.2">
      <c r="E117" s="600"/>
      <c r="F117" s="600"/>
      <c r="G117" s="600"/>
      <c r="H117" s="600"/>
      <c r="I117" s="105" t="s">
        <v>53</v>
      </c>
      <c r="K117" s="575">
        <v>13</v>
      </c>
    </row>
    <row r="118" spans="1:13" s="105" customFormat="1" ht="13.5" thickBot="1" x14ac:dyDescent="0.25">
      <c r="F118" s="600"/>
      <c r="G118" s="600"/>
      <c r="H118" s="600"/>
      <c r="I118" s="568"/>
      <c r="J118" s="572"/>
      <c r="K118" s="602"/>
      <c r="L118" s="602" t="s">
        <v>53</v>
      </c>
      <c r="M118" s="602"/>
    </row>
    <row r="119" spans="1:13" s="105" customFormat="1" x14ac:dyDescent="0.2">
      <c r="F119" s="600"/>
      <c r="G119" s="600"/>
      <c r="H119" s="600"/>
      <c r="I119" s="570" t="s">
        <v>63</v>
      </c>
      <c r="J119" s="577"/>
      <c r="K119" s="566">
        <v>0</v>
      </c>
      <c r="L119" s="584" t="s">
        <v>162</v>
      </c>
      <c r="M119" s="600"/>
    </row>
    <row r="120" spans="1:13" s="105" customFormat="1" x14ac:dyDescent="0.2">
      <c r="F120" s="575"/>
      <c r="G120" s="600"/>
      <c r="H120" s="600"/>
      <c r="L120" s="600"/>
      <c r="M120" s="600"/>
    </row>
    <row r="121" spans="1:13" s="105" customFormat="1" ht="13.5" thickBot="1" x14ac:dyDescent="0.25">
      <c r="F121" s="600"/>
      <c r="G121" s="600"/>
      <c r="H121" s="600"/>
      <c r="I121" s="600"/>
      <c r="J121" s="600"/>
      <c r="L121" s="602" t="s">
        <v>63</v>
      </c>
      <c r="M121" s="602"/>
    </row>
    <row r="122" spans="1:13" s="105" customFormat="1" x14ac:dyDescent="0.2">
      <c r="F122" s="600"/>
      <c r="G122" s="600"/>
      <c r="H122" s="600"/>
      <c r="I122" s="600"/>
      <c r="J122" s="600"/>
      <c r="L122" s="579" t="s">
        <v>163</v>
      </c>
    </row>
    <row r="123" spans="1:13" s="105" customFormat="1" x14ac:dyDescent="0.2">
      <c r="F123" s="600"/>
      <c r="G123" s="600"/>
      <c r="H123" s="600"/>
      <c r="I123" s="600"/>
      <c r="J123" s="600"/>
      <c r="L123" s="579"/>
    </row>
    <row r="124" spans="1:13" s="105" customFormat="1" x14ac:dyDescent="0.2">
      <c r="A124" s="585" t="s">
        <v>417</v>
      </c>
      <c r="F124" s="600"/>
      <c r="G124" s="600"/>
      <c r="H124" s="600"/>
      <c r="I124" s="600"/>
      <c r="J124" s="600"/>
      <c r="L124" s="579"/>
    </row>
    <row r="125" spans="1:13" s="105" customFormat="1" x14ac:dyDescent="0.2">
      <c r="A125" s="585"/>
      <c r="F125" s="600"/>
      <c r="G125" s="600"/>
      <c r="H125" s="600"/>
      <c r="I125" s="600"/>
      <c r="J125" s="600"/>
      <c r="L125" s="579"/>
    </row>
    <row r="126" spans="1:13" s="105" customFormat="1" x14ac:dyDescent="0.2">
      <c r="A126" s="585"/>
      <c r="C126" s="650" t="s">
        <v>416</v>
      </c>
      <c r="F126" s="575">
        <v>1</v>
      </c>
      <c r="I126" s="600"/>
      <c r="J126" s="600"/>
      <c r="L126" s="579"/>
    </row>
    <row r="127" spans="1:13" s="105" customFormat="1" x14ac:dyDescent="0.2">
      <c r="A127" s="585"/>
      <c r="C127" s="568"/>
      <c r="D127" s="568"/>
      <c r="E127" s="572"/>
      <c r="F127" s="569"/>
      <c r="G127" s="653" t="s">
        <v>57</v>
      </c>
      <c r="H127" s="570"/>
      <c r="J127" s="600"/>
      <c r="L127" s="579"/>
    </row>
    <row r="128" spans="1:13" s="105" customFormat="1" x14ac:dyDescent="0.2">
      <c r="A128" s="585"/>
      <c r="C128" s="653" t="s">
        <v>57</v>
      </c>
      <c r="D128" s="570"/>
      <c r="E128" s="577"/>
      <c r="F128" s="578">
        <v>13</v>
      </c>
      <c r="G128" s="584" t="s">
        <v>418</v>
      </c>
      <c r="H128" s="568"/>
      <c r="I128" s="600"/>
      <c r="J128" s="600"/>
      <c r="L128" s="579"/>
    </row>
    <row r="129" spans="1:13" s="105" customFormat="1" x14ac:dyDescent="0.2">
      <c r="G129" s="600"/>
      <c r="H129" s="600"/>
      <c r="I129" s="600"/>
      <c r="J129" s="600"/>
      <c r="L129" s="579"/>
    </row>
    <row r="130" spans="1:13" s="105" customFormat="1" x14ac:dyDescent="0.2">
      <c r="C130" s="600"/>
      <c r="D130" s="600"/>
      <c r="G130" s="653" t="s">
        <v>416</v>
      </c>
      <c r="H130" s="570"/>
      <c r="I130" s="600"/>
      <c r="J130" s="600"/>
      <c r="L130" s="579"/>
    </row>
    <row r="131" spans="1:13" s="105" customFormat="1" x14ac:dyDescent="0.2">
      <c r="C131" s="600"/>
      <c r="D131" s="600"/>
      <c r="G131" s="652" t="s">
        <v>420</v>
      </c>
      <c r="H131" s="568"/>
      <c r="I131" s="600"/>
      <c r="J131" s="600"/>
      <c r="L131" s="579"/>
    </row>
    <row r="132" spans="1:13" s="105" customFormat="1" x14ac:dyDescent="0.2"/>
    <row r="133" spans="1:13" s="105" customFormat="1" x14ac:dyDescent="0.2">
      <c r="A133" s="585" t="s">
        <v>390</v>
      </c>
    </row>
    <row r="134" spans="1:13" s="31" customFormat="1" x14ac:dyDescent="0.2">
      <c r="A134" s="342"/>
      <c r="B134" s="646" t="s">
        <v>422</v>
      </c>
      <c r="C134" s="31" t="s">
        <v>57</v>
      </c>
      <c r="F134" s="343">
        <v>12</v>
      </c>
    </row>
    <row r="135" spans="1:13" s="31" customFormat="1" x14ac:dyDescent="0.2">
      <c r="A135" s="344"/>
      <c r="B135" s="342"/>
      <c r="C135" s="345"/>
      <c r="D135" s="345"/>
      <c r="E135" s="350"/>
      <c r="F135" s="346" t="s">
        <v>69</v>
      </c>
      <c r="G135" s="347"/>
      <c r="I135" s="343">
        <v>13</v>
      </c>
    </row>
    <row r="136" spans="1:13" s="31" customFormat="1" x14ac:dyDescent="0.2">
      <c r="A136" s="342"/>
      <c r="B136" s="342" t="s">
        <v>382</v>
      </c>
      <c r="C136" s="347" t="s">
        <v>69</v>
      </c>
      <c r="D136" s="347"/>
      <c r="E136" s="348"/>
      <c r="F136" s="349">
        <v>13</v>
      </c>
      <c r="H136" s="350"/>
    </row>
    <row r="137" spans="1:13" s="31" customFormat="1" x14ac:dyDescent="0.2">
      <c r="A137" s="344"/>
      <c r="B137" s="342"/>
      <c r="G137" s="351"/>
      <c r="H137" s="352"/>
      <c r="I137" s="31" t="s">
        <v>69</v>
      </c>
      <c r="K137" s="343">
        <v>13</v>
      </c>
    </row>
    <row r="138" spans="1:13" s="31" customFormat="1" x14ac:dyDescent="0.2">
      <c r="A138" s="342"/>
      <c r="B138" s="342" t="s">
        <v>379</v>
      </c>
      <c r="C138" s="31" t="s">
        <v>55</v>
      </c>
      <c r="E138" s="598"/>
      <c r="F138" s="354">
        <v>5</v>
      </c>
      <c r="H138" s="352"/>
      <c r="I138" s="345"/>
      <c r="J138" s="350"/>
    </row>
    <row r="139" spans="1:13" s="31" customFormat="1" x14ac:dyDescent="0.2">
      <c r="A139" s="344"/>
      <c r="B139" s="342"/>
      <c r="C139" s="345"/>
      <c r="D139" s="345"/>
      <c r="E139" s="350"/>
      <c r="F139" s="355" t="s">
        <v>54</v>
      </c>
      <c r="H139" s="356"/>
      <c r="I139" s="354">
        <v>9</v>
      </c>
      <c r="J139" s="352"/>
    </row>
    <row r="140" spans="1:13" s="31" customFormat="1" x14ac:dyDescent="0.2">
      <c r="A140" s="342"/>
      <c r="B140" s="342" t="s">
        <v>380</v>
      </c>
      <c r="C140" s="347" t="s">
        <v>54</v>
      </c>
      <c r="D140" s="347"/>
      <c r="E140" s="348"/>
      <c r="F140" s="357">
        <v>13</v>
      </c>
      <c r="G140" s="345"/>
      <c r="I140" s="351"/>
      <c r="J140" s="352"/>
    </row>
    <row r="141" spans="1:13" s="31" customFormat="1" ht="13.5" thickBot="1" x14ac:dyDescent="0.25">
      <c r="A141" s="344"/>
      <c r="B141" s="342"/>
      <c r="I141" s="351"/>
      <c r="J141" s="352"/>
      <c r="L141" s="31" t="s">
        <v>69</v>
      </c>
    </row>
    <row r="142" spans="1:13" s="31" customFormat="1" x14ac:dyDescent="0.2">
      <c r="A142" s="342"/>
      <c r="B142" s="342" t="s">
        <v>267</v>
      </c>
      <c r="C142" s="31" t="s">
        <v>349</v>
      </c>
      <c r="F142" s="343">
        <v>0</v>
      </c>
      <c r="I142" s="351"/>
      <c r="J142" s="352"/>
      <c r="K142" s="358"/>
      <c r="L142" s="359" t="s">
        <v>164</v>
      </c>
      <c r="M142" s="360"/>
    </row>
    <row r="143" spans="1:13" s="31" customFormat="1" x14ac:dyDescent="0.2">
      <c r="A143" s="344"/>
      <c r="B143" s="342"/>
      <c r="C143" s="345"/>
      <c r="D143" s="345"/>
      <c r="E143" s="350"/>
      <c r="F143" s="346" t="s">
        <v>64</v>
      </c>
      <c r="G143" s="347"/>
      <c r="I143" s="354">
        <v>9</v>
      </c>
      <c r="J143" s="352"/>
    </row>
    <row r="144" spans="1:13" s="31" customFormat="1" ht="13.5" thickBot="1" x14ac:dyDescent="0.25">
      <c r="A144" s="342"/>
      <c r="B144" s="342" t="s">
        <v>381</v>
      </c>
      <c r="C144" s="347" t="s">
        <v>64</v>
      </c>
      <c r="D144" s="347"/>
      <c r="E144" s="356"/>
      <c r="F144" s="349">
        <v>13</v>
      </c>
      <c r="H144" s="350"/>
      <c r="I144" s="351"/>
      <c r="J144" s="352"/>
      <c r="L144" s="361" t="s">
        <v>65</v>
      </c>
      <c r="M144" s="361"/>
    </row>
    <row r="145" spans="1:13" s="31" customFormat="1" x14ac:dyDescent="0.2">
      <c r="A145" s="344"/>
      <c r="B145" s="342"/>
      <c r="G145" s="351"/>
      <c r="H145" s="352"/>
      <c r="I145" s="347" t="s">
        <v>65</v>
      </c>
      <c r="J145" s="356"/>
      <c r="K145" s="343">
        <v>0</v>
      </c>
      <c r="L145" s="359" t="s">
        <v>165</v>
      </c>
    </row>
    <row r="146" spans="1:13" s="31" customFormat="1" x14ac:dyDescent="0.2">
      <c r="A146" s="342"/>
      <c r="B146" s="342" t="s">
        <v>255</v>
      </c>
      <c r="C146" s="31" t="s">
        <v>65</v>
      </c>
      <c r="F146" s="354">
        <v>13</v>
      </c>
      <c r="H146" s="352"/>
    </row>
    <row r="147" spans="1:13" s="31" customFormat="1" x14ac:dyDescent="0.2">
      <c r="A147" s="344"/>
      <c r="B147" s="342"/>
      <c r="C147" s="345"/>
      <c r="D147" s="345"/>
      <c r="E147" s="350"/>
      <c r="F147" s="355" t="s">
        <v>65</v>
      </c>
      <c r="H147" s="356"/>
      <c r="I147" s="343">
        <v>13</v>
      </c>
    </row>
    <row r="148" spans="1:13" s="31" customFormat="1" x14ac:dyDescent="0.2">
      <c r="A148" s="342"/>
      <c r="B148" s="342" t="s">
        <v>421</v>
      </c>
      <c r="C148" s="347" t="s">
        <v>416</v>
      </c>
      <c r="D148" s="347"/>
      <c r="E148" s="356"/>
      <c r="F148" s="357">
        <v>8</v>
      </c>
      <c r="G148" s="345"/>
    </row>
    <row r="149" spans="1:13" s="31" customFormat="1" x14ac:dyDescent="0.2">
      <c r="I149" s="31" t="s">
        <v>54</v>
      </c>
      <c r="K149" s="354">
        <v>0</v>
      </c>
      <c r="L149" s="351"/>
      <c r="M149" s="351"/>
    </row>
    <row r="150" spans="1:13" s="31" customFormat="1" ht="13.5" thickBot="1" x14ac:dyDescent="0.25">
      <c r="I150" s="345"/>
      <c r="J150" s="350"/>
      <c r="K150" s="361"/>
      <c r="L150" s="361" t="s">
        <v>64</v>
      </c>
      <c r="M150" s="361"/>
    </row>
    <row r="151" spans="1:13" s="31" customFormat="1" x14ac:dyDescent="0.2">
      <c r="I151" s="347" t="s">
        <v>64</v>
      </c>
      <c r="J151" s="356"/>
      <c r="K151" s="343">
        <v>13</v>
      </c>
      <c r="L151" s="362" t="s">
        <v>383</v>
      </c>
      <c r="M151" s="351"/>
    </row>
    <row r="152" spans="1:13" s="31" customFormat="1" x14ac:dyDescent="0.2">
      <c r="L152" s="351"/>
      <c r="M152" s="351"/>
    </row>
    <row r="153" spans="1:13" s="31" customFormat="1" ht="13.5" thickBot="1" x14ac:dyDescent="0.25">
      <c r="J153" s="351"/>
      <c r="L153" s="361" t="s">
        <v>54</v>
      </c>
      <c r="M153" s="361"/>
    </row>
    <row r="154" spans="1:13" s="31" customFormat="1" x14ac:dyDescent="0.2">
      <c r="F154" s="31" t="s">
        <v>57</v>
      </c>
      <c r="I154" s="343">
        <v>13</v>
      </c>
      <c r="L154" s="363" t="s">
        <v>384</v>
      </c>
    </row>
    <row r="155" spans="1:13" s="31" customFormat="1" x14ac:dyDescent="0.2">
      <c r="F155" s="345"/>
      <c r="G155" s="345"/>
      <c r="H155" s="350"/>
      <c r="I155" s="346" t="s">
        <v>57</v>
      </c>
      <c r="J155" s="347"/>
      <c r="K155" s="658"/>
    </row>
    <row r="156" spans="1:13" s="31" customFormat="1" x14ac:dyDescent="0.2">
      <c r="F156" s="347" t="s">
        <v>55</v>
      </c>
      <c r="G156" s="347"/>
      <c r="H156" s="356"/>
      <c r="I156" s="349">
        <v>1</v>
      </c>
      <c r="J156" s="352"/>
      <c r="K156" s="659"/>
    </row>
    <row r="157" spans="1:13" s="31" customFormat="1" ht="13.5" thickBot="1" x14ac:dyDescent="0.25">
      <c r="I157" s="351"/>
      <c r="J157" s="352"/>
      <c r="K157" s="659"/>
      <c r="L157" s="31" t="s">
        <v>57</v>
      </c>
    </row>
    <row r="158" spans="1:13" s="31" customFormat="1" x14ac:dyDescent="0.2">
      <c r="F158" s="31" t="s">
        <v>349</v>
      </c>
      <c r="I158" s="354">
        <v>0</v>
      </c>
      <c r="J158" s="352"/>
      <c r="K158" s="660"/>
      <c r="L158" s="359" t="s">
        <v>385</v>
      </c>
      <c r="M158" s="360"/>
    </row>
    <row r="159" spans="1:13" s="31" customFormat="1" x14ac:dyDescent="0.2">
      <c r="F159" s="345"/>
      <c r="G159" s="345"/>
      <c r="H159" s="350"/>
      <c r="I159" s="355" t="s">
        <v>416</v>
      </c>
      <c r="J159" s="356"/>
      <c r="K159" s="656"/>
    </row>
    <row r="160" spans="1:13" s="31" customFormat="1" ht="13.5" thickBot="1" x14ac:dyDescent="0.25">
      <c r="F160" s="347" t="s">
        <v>416</v>
      </c>
      <c r="G160" s="347"/>
      <c r="H160" s="356"/>
      <c r="I160" s="357">
        <v>13</v>
      </c>
      <c r="K160" s="351"/>
      <c r="L160" s="351" t="s">
        <v>416</v>
      </c>
      <c r="M160" s="361"/>
    </row>
    <row r="161" spans="1:13" s="31" customFormat="1" x14ac:dyDescent="0.2">
      <c r="K161" s="351"/>
      <c r="L161" s="359" t="s">
        <v>386</v>
      </c>
      <c r="M161" s="351"/>
    </row>
    <row r="162" spans="1:13" s="31" customFormat="1" x14ac:dyDescent="0.2">
      <c r="I162" s="31" t="s">
        <v>55</v>
      </c>
      <c r="K162" s="656">
        <v>13</v>
      </c>
      <c r="L162" s="351"/>
      <c r="M162" s="351"/>
    </row>
    <row r="163" spans="1:13" s="31" customFormat="1" ht="13.5" thickBot="1" x14ac:dyDescent="0.25">
      <c r="I163" s="345"/>
      <c r="J163" s="350"/>
      <c r="K163" s="361"/>
      <c r="L163" s="361" t="s">
        <v>55</v>
      </c>
      <c r="M163" s="361"/>
    </row>
    <row r="164" spans="1:13" s="31" customFormat="1" x14ac:dyDescent="0.2">
      <c r="I164" s="347" t="s">
        <v>349</v>
      </c>
      <c r="J164" s="356"/>
      <c r="K164" s="343">
        <v>0</v>
      </c>
      <c r="L164" s="362" t="s">
        <v>387</v>
      </c>
      <c r="M164" s="351"/>
    </row>
    <row r="165" spans="1:13" s="31" customFormat="1" x14ac:dyDescent="0.2">
      <c r="L165" s="351"/>
      <c r="M165" s="351"/>
    </row>
    <row r="166" spans="1:13" s="31" customFormat="1" ht="13.5" thickBot="1" x14ac:dyDescent="0.25">
      <c r="J166" s="351"/>
      <c r="L166" s="361" t="s">
        <v>349</v>
      </c>
      <c r="M166" s="361"/>
    </row>
    <row r="167" spans="1:13" s="31" customFormat="1" x14ac:dyDescent="0.2">
      <c r="I167" s="351"/>
      <c r="J167" s="351"/>
      <c r="L167" s="363" t="s">
        <v>388</v>
      </c>
    </row>
    <row r="168" spans="1:13" s="105" customFormat="1" x14ac:dyDescent="0.2">
      <c r="F168" s="600"/>
      <c r="G168" s="600"/>
      <c r="H168" s="600"/>
      <c r="I168" s="600"/>
      <c r="J168" s="600"/>
      <c r="L168" s="579"/>
    </row>
    <row r="169" spans="1:13" s="105" customFormat="1" ht="13.5" thickBot="1" x14ac:dyDescent="0.25">
      <c r="L169" s="602" t="s">
        <v>82</v>
      </c>
      <c r="M169" s="602"/>
    </row>
    <row r="170" spans="1:13" s="105" customFormat="1" x14ac:dyDescent="0.2">
      <c r="L170" s="579" t="s">
        <v>389</v>
      </c>
    </row>
    <row r="171" spans="1:13" s="245" customFormat="1" x14ac:dyDescent="0.2">
      <c r="F171" s="478"/>
      <c r="G171" s="478"/>
      <c r="H171" s="478"/>
      <c r="I171" s="478"/>
      <c r="J171" s="478"/>
      <c r="K171" s="478"/>
    </row>
    <row r="172" spans="1:13" x14ac:dyDescent="0.2">
      <c r="A172" s="30">
        <v>1</v>
      </c>
      <c r="B172" s="32" t="s">
        <v>44</v>
      </c>
    </row>
    <row r="173" spans="1:13" x14ac:dyDescent="0.2">
      <c r="A173" s="30">
        <v>2</v>
      </c>
      <c r="B173" s="616" t="s">
        <v>48</v>
      </c>
    </row>
    <row r="174" spans="1:13" x14ac:dyDescent="0.2">
      <c r="A174" s="30">
        <v>3</v>
      </c>
      <c r="B174" s="624" t="s">
        <v>49</v>
      </c>
    </row>
    <row r="175" spans="1:13" x14ac:dyDescent="0.2">
      <c r="A175" s="30">
        <v>4</v>
      </c>
      <c r="B175" s="640" t="s">
        <v>43</v>
      </c>
    </row>
    <row r="176" spans="1:13" x14ac:dyDescent="0.2">
      <c r="A176" s="30">
        <v>5</v>
      </c>
      <c r="B176" s="640" t="s">
        <v>51</v>
      </c>
    </row>
    <row r="177" spans="1:2" x14ac:dyDescent="0.2">
      <c r="A177" s="30">
        <v>6</v>
      </c>
      <c r="B177" s="640" t="s">
        <v>46</v>
      </c>
    </row>
    <row r="178" spans="1:2" x14ac:dyDescent="0.2">
      <c r="A178" s="30">
        <v>7</v>
      </c>
      <c r="B178" s="640" t="s">
        <v>47</v>
      </c>
    </row>
    <row r="179" spans="1:2" x14ac:dyDescent="0.2">
      <c r="A179" s="30">
        <v>8</v>
      </c>
      <c r="B179" s="647" t="s">
        <v>60</v>
      </c>
    </row>
    <row r="180" spans="1:2" x14ac:dyDescent="0.2">
      <c r="A180" s="30">
        <v>9</v>
      </c>
      <c r="B180" s="640" t="s">
        <v>45</v>
      </c>
    </row>
    <row r="181" spans="1:2" x14ac:dyDescent="0.2">
      <c r="A181" s="30">
        <v>10</v>
      </c>
      <c r="B181" s="640" t="s">
        <v>81</v>
      </c>
    </row>
    <row r="182" spans="1:2" x14ac:dyDescent="0.2">
      <c r="A182" s="30">
        <v>11</v>
      </c>
      <c r="B182" s="647" t="s">
        <v>59</v>
      </c>
    </row>
    <row r="183" spans="1:2" x14ac:dyDescent="0.2">
      <c r="A183" s="30">
        <v>12</v>
      </c>
      <c r="B183" s="640" t="s">
        <v>56</v>
      </c>
    </row>
    <row r="184" spans="1:2" x14ac:dyDescent="0.2">
      <c r="A184" s="30">
        <v>13</v>
      </c>
      <c r="B184" s="640" t="s">
        <v>339</v>
      </c>
    </row>
    <row r="185" spans="1:2" x14ac:dyDescent="0.2">
      <c r="A185" s="30">
        <v>14</v>
      </c>
      <c r="B185" s="640" t="s">
        <v>50</v>
      </c>
    </row>
    <row r="186" spans="1:2" x14ac:dyDescent="0.2">
      <c r="A186" s="30">
        <v>15</v>
      </c>
      <c r="B186" s="640" t="s">
        <v>53</v>
      </c>
    </row>
    <row r="187" spans="1:2" x14ac:dyDescent="0.2">
      <c r="A187" s="30">
        <v>16</v>
      </c>
      <c r="B187" s="640" t="s">
        <v>63</v>
      </c>
    </row>
    <row r="188" spans="1:2" x14ac:dyDescent="0.2">
      <c r="A188" s="30">
        <v>17</v>
      </c>
      <c r="B188" s="640" t="s">
        <v>69</v>
      </c>
    </row>
    <row r="189" spans="1:2" x14ac:dyDescent="0.2">
      <c r="A189" s="30">
        <v>18</v>
      </c>
      <c r="B189" s="640" t="s">
        <v>65</v>
      </c>
    </row>
    <row r="190" spans="1:2" x14ac:dyDescent="0.2">
      <c r="A190" s="30">
        <v>19</v>
      </c>
      <c r="B190" s="640" t="s">
        <v>64</v>
      </c>
    </row>
    <row r="191" spans="1:2" x14ac:dyDescent="0.2">
      <c r="A191" s="30">
        <v>20</v>
      </c>
      <c r="B191" s="640" t="s">
        <v>54</v>
      </c>
    </row>
    <row r="192" spans="1:2" x14ac:dyDescent="0.2">
      <c r="A192" s="30">
        <v>21</v>
      </c>
      <c r="B192" s="640" t="s">
        <v>57</v>
      </c>
    </row>
    <row r="193" spans="1:2" x14ac:dyDescent="0.2">
      <c r="A193" s="30">
        <v>22</v>
      </c>
      <c r="B193" s="640" t="s">
        <v>416</v>
      </c>
    </row>
    <row r="194" spans="1:2" x14ac:dyDescent="0.2">
      <c r="A194" s="30">
        <v>23</v>
      </c>
      <c r="B194" s="640" t="s">
        <v>55</v>
      </c>
    </row>
    <row r="195" spans="1:2" x14ac:dyDescent="0.2">
      <c r="A195" s="30">
        <v>24</v>
      </c>
      <c r="B195" s="647" t="s">
        <v>349</v>
      </c>
    </row>
    <row r="196" spans="1:2" x14ac:dyDescent="0.2">
      <c r="A196" s="30">
        <v>25</v>
      </c>
      <c r="B196" s="647" t="s">
        <v>82</v>
      </c>
    </row>
  </sheetData>
  <conditionalFormatting sqref="C7:N19 C20:I21 K20:N21 C22:N125 C132:N164 C126:D131 F126:N126 F127:H127 J127:N127 F128:N131">
    <cfRule type="cellIs" dxfId="122" priority="10" stopIfTrue="1" operator="equal">
      <formula>13</formula>
    </cfRule>
  </conditionalFormatting>
  <conditionalFormatting sqref="B7:B8">
    <cfRule type="cellIs" dxfId="121" priority="9" stopIfTrue="1" operator="equal">
      <formula>13</formula>
    </cfRule>
  </conditionalFormatting>
  <conditionalFormatting sqref="B9">
    <cfRule type="cellIs" dxfId="120" priority="8" stopIfTrue="1" operator="equal">
      <formula>13</formula>
    </cfRule>
  </conditionalFormatting>
  <conditionalFormatting sqref="B13">
    <cfRule type="cellIs" dxfId="119" priority="7" stopIfTrue="1" operator="equal">
      <formula>13</formula>
    </cfRule>
  </conditionalFormatting>
  <conditionalFormatting sqref="B14">
    <cfRule type="duplicateValues" dxfId="118" priority="6" stopIfTrue="1"/>
  </conditionalFormatting>
  <conditionalFormatting sqref="B19">
    <cfRule type="cellIs" dxfId="117" priority="5" stopIfTrue="1" operator="equal">
      <formula>13</formula>
    </cfRule>
  </conditionalFormatting>
  <conditionalFormatting sqref="B20">
    <cfRule type="cellIs" dxfId="116" priority="4" stopIfTrue="1" operator="equal">
      <formula>13</formula>
    </cfRule>
  </conditionalFormatting>
  <conditionalFormatting sqref="B25">
    <cfRule type="cellIs" dxfId="115" priority="3" stopIfTrue="1" operator="equal">
      <formula>13</formula>
    </cfRule>
  </conditionalFormatting>
  <conditionalFormatting sqref="J20">
    <cfRule type="duplicateValues" dxfId="114" priority="2" stopIfTrue="1"/>
  </conditionalFormatting>
  <conditionalFormatting sqref="J21">
    <cfRule type="duplicateValues" dxfId="113" priority="1" stopIfTrue="1"/>
  </conditionalFormatting>
  <pageMargins left="0.78740157480314965" right="0.39370078740157483" top="0.59055118110236227" bottom="0.39370078740157483" header="0.39370078740157483" footer="0"/>
  <pageSetup paperSize="9" fitToHeight="0" orientation="landscape" verticalDpi="1200" r:id="rId1"/>
  <headerFooter>
    <oddHeader>&amp;R&amp;"Arial,Regular"&amp;9Page &amp;P of &amp;N</oddHeader>
  </headerFooter>
  <rowBreaks count="5" manualBreakCount="5">
    <brk id="28" max="16383" man="1"/>
    <brk id="66" max="16383" man="1"/>
    <brk id="83" max="16383" man="1"/>
    <brk id="131" max="14" man="1"/>
    <brk id="170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4.5703125" style="46" customWidth="1"/>
    <col min="2" max="2" width="19.42578125" style="46" bestFit="1" customWidth="1"/>
    <col min="3" max="3" width="9.7109375" style="46" customWidth="1"/>
    <col min="4" max="4" width="19.42578125" style="46" bestFit="1" customWidth="1"/>
    <col min="5" max="10" width="9.7109375" style="46" customWidth="1"/>
    <col min="11" max="11" width="19.42578125" style="46" bestFit="1" customWidth="1"/>
    <col min="12" max="16384" width="9.140625" style="46"/>
  </cols>
  <sheetData>
    <row r="1" spans="1:10" x14ac:dyDescent="0.2">
      <c r="A1" s="45" t="str">
        <f>UPPER((Kalend!E16)&amp;" - "&amp;(Kalend!C16)&amp;" - "&amp;(Kalend!D16))</f>
        <v>MU - TOILA VALLA MV (15. MURUTURNIIR) - ÜKSIK</v>
      </c>
      <c r="F1" s="297" t="str">
        <f>HYPERLINK("#Kalend!I1","Kalender")</f>
        <v>Kalender</v>
      </c>
      <c r="G1" s="478"/>
      <c r="H1" s="297" t="str">
        <f>HYPERLINK("#Reit!G1","Reiting")</f>
        <v>Reiting</v>
      </c>
      <c r="I1" s="478"/>
      <c r="J1" s="478"/>
    </row>
    <row r="2" spans="1:10" x14ac:dyDescent="0.2">
      <c r="A2" s="9" t="str">
        <f>"Toimumisaeg: "&amp;(Kalend!A16)&amp;" kell "&amp;(Kalend!B16)</f>
        <v>Toimumisaeg: P, 12.06.2016 kell 10:00</v>
      </c>
    </row>
    <row r="3" spans="1:10" x14ac:dyDescent="0.2">
      <c r="A3" s="9" t="str">
        <f>"Toimumiskoht: "&amp;(Kalend!F16)</f>
        <v>Toimumiskoht: Voka staadion</v>
      </c>
    </row>
    <row r="4" spans="1:10" x14ac:dyDescent="0.2">
      <c r="A4" s="9" t="str">
        <f>"Korraldaja: "&amp;(Kalend!G16)</f>
        <v>Korraldaja: Toila vald, Johannes Neiland</v>
      </c>
    </row>
    <row r="6" spans="1:10" x14ac:dyDescent="0.2">
      <c r="A6" s="47" t="s">
        <v>171</v>
      </c>
    </row>
    <row r="7" spans="1:10" x14ac:dyDescent="0.2">
      <c r="A7" s="48"/>
    </row>
    <row r="8" spans="1:10" x14ac:dyDescent="0.2">
      <c r="A8" s="49" t="s">
        <v>172</v>
      </c>
      <c r="C8" s="35">
        <v>1</v>
      </c>
      <c r="E8" s="56"/>
    </row>
    <row r="9" spans="1:10" x14ac:dyDescent="0.2">
      <c r="C9" s="50"/>
      <c r="D9" s="51">
        <v>-101</v>
      </c>
      <c r="E9" s="52"/>
      <c r="F9" s="56"/>
    </row>
    <row r="10" spans="1:10" x14ac:dyDescent="0.2">
      <c r="C10" s="50">
        <v>32</v>
      </c>
      <c r="D10" s="53"/>
      <c r="E10" s="54"/>
    </row>
    <row r="11" spans="1:10" x14ac:dyDescent="0.2">
      <c r="C11" s="50"/>
      <c r="E11" s="55">
        <v>-117</v>
      </c>
      <c r="F11" s="33"/>
      <c r="G11" s="56"/>
    </row>
    <row r="12" spans="1:10" x14ac:dyDescent="0.2">
      <c r="C12" s="50">
        <v>17</v>
      </c>
      <c r="E12" s="106"/>
      <c r="F12" s="57"/>
    </row>
    <row r="13" spans="1:10" x14ac:dyDescent="0.2">
      <c r="C13" s="50"/>
      <c r="D13" s="51">
        <v>-102</v>
      </c>
      <c r="E13" s="58"/>
      <c r="F13" s="59"/>
    </row>
    <row r="14" spans="1:10" x14ac:dyDescent="0.2">
      <c r="C14" s="50">
        <v>16</v>
      </c>
      <c r="D14" s="53"/>
      <c r="E14" s="60"/>
      <c r="F14" s="61"/>
    </row>
    <row r="15" spans="1:10" x14ac:dyDescent="0.2">
      <c r="C15" s="62"/>
      <c r="F15" s="55">
        <v>-141</v>
      </c>
      <c r="G15" s="33"/>
      <c r="H15" s="56"/>
    </row>
    <row r="16" spans="1:10" x14ac:dyDescent="0.2">
      <c r="C16" s="35">
        <v>9</v>
      </c>
      <c r="E16" s="56"/>
      <c r="F16" s="61"/>
      <c r="G16" s="57"/>
    </row>
    <row r="17" spans="3:9" x14ac:dyDescent="0.2">
      <c r="C17" s="50"/>
      <c r="D17" s="51">
        <v>-103</v>
      </c>
      <c r="E17" s="52"/>
      <c r="F17" s="59"/>
      <c r="G17" s="61"/>
    </row>
    <row r="18" spans="3:9" x14ac:dyDescent="0.2">
      <c r="C18" s="50">
        <v>24</v>
      </c>
      <c r="D18" s="53"/>
      <c r="E18" s="54"/>
      <c r="F18" s="61"/>
      <c r="G18" s="61"/>
    </row>
    <row r="19" spans="3:9" x14ac:dyDescent="0.2">
      <c r="C19" s="50"/>
      <c r="E19" s="55">
        <v>-118</v>
      </c>
      <c r="F19" s="63"/>
      <c r="G19" s="59"/>
    </row>
    <row r="20" spans="3:9" x14ac:dyDescent="0.2">
      <c r="C20" s="50">
        <v>25</v>
      </c>
      <c r="E20" s="59"/>
      <c r="F20" s="33"/>
      <c r="G20" s="61"/>
    </row>
    <row r="21" spans="3:9" x14ac:dyDescent="0.2">
      <c r="C21" s="50"/>
      <c r="D21" s="51">
        <v>-104</v>
      </c>
      <c r="E21" s="58"/>
      <c r="F21" s="36"/>
      <c r="G21" s="61"/>
    </row>
    <row r="22" spans="3:9" x14ac:dyDescent="0.2">
      <c r="C22" s="50">
        <v>8</v>
      </c>
      <c r="D22" s="53"/>
      <c r="E22" s="60"/>
      <c r="F22" s="33"/>
      <c r="G22" s="61"/>
    </row>
    <row r="23" spans="3:9" x14ac:dyDescent="0.2">
      <c r="G23" s="55">
        <v>-157</v>
      </c>
      <c r="I23" s="56"/>
    </row>
    <row r="24" spans="3:9" x14ac:dyDescent="0.2">
      <c r="C24" s="35">
        <v>5</v>
      </c>
      <c r="E24" s="56"/>
      <c r="G24" s="61"/>
      <c r="H24" s="57"/>
    </row>
    <row r="25" spans="3:9" x14ac:dyDescent="0.2">
      <c r="C25" s="50"/>
      <c r="D25" s="51">
        <v>-105</v>
      </c>
      <c r="E25" s="52"/>
      <c r="F25" s="56"/>
      <c r="G25" s="61"/>
      <c r="H25" s="61"/>
    </row>
    <row r="26" spans="3:9" x14ac:dyDescent="0.2">
      <c r="C26" s="50">
        <v>28</v>
      </c>
      <c r="D26" s="53"/>
      <c r="E26" s="54"/>
      <c r="G26" s="61"/>
      <c r="H26" s="61"/>
    </row>
    <row r="27" spans="3:9" x14ac:dyDescent="0.2">
      <c r="C27" s="50"/>
      <c r="E27" s="55">
        <v>-119</v>
      </c>
      <c r="G27" s="59"/>
      <c r="H27" s="61"/>
    </row>
    <row r="28" spans="3:9" x14ac:dyDescent="0.2">
      <c r="C28" s="50">
        <v>21</v>
      </c>
      <c r="E28" s="59"/>
      <c r="F28" s="57"/>
      <c r="G28" s="61"/>
      <c r="H28" s="61"/>
    </row>
    <row r="29" spans="3:9" x14ac:dyDescent="0.2">
      <c r="C29" s="50"/>
      <c r="D29" s="51">
        <v>-106</v>
      </c>
      <c r="E29" s="58"/>
      <c r="F29" s="59"/>
      <c r="G29" s="61"/>
      <c r="H29" s="61"/>
    </row>
    <row r="30" spans="3:9" x14ac:dyDescent="0.2">
      <c r="C30" s="50">
        <v>12</v>
      </c>
      <c r="D30" s="53"/>
      <c r="E30" s="60"/>
      <c r="F30" s="61"/>
      <c r="G30" s="61"/>
      <c r="H30" s="61"/>
    </row>
    <row r="31" spans="3:9" x14ac:dyDescent="0.2">
      <c r="F31" s="55">
        <v>-142</v>
      </c>
      <c r="G31" s="63"/>
      <c r="H31" s="59"/>
    </row>
    <row r="32" spans="3:9" x14ac:dyDescent="0.2">
      <c r="C32" s="35">
        <v>13</v>
      </c>
      <c r="E32" s="56"/>
      <c r="F32" s="61"/>
      <c r="H32" s="61"/>
    </row>
    <row r="33" spans="3:10" x14ac:dyDescent="0.2">
      <c r="C33" s="50"/>
      <c r="D33" s="51">
        <v>-107</v>
      </c>
      <c r="E33" s="52"/>
      <c r="F33" s="59"/>
      <c r="H33" s="61"/>
    </row>
    <row r="34" spans="3:10" x14ac:dyDescent="0.2">
      <c r="C34" s="50">
        <v>20</v>
      </c>
      <c r="D34" s="53"/>
      <c r="E34" s="54"/>
      <c r="F34" s="61"/>
      <c r="H34" s="61"/>
    </row>
    <row r="35" spans="3:10" x14ac:dyDescent="0.2">
      <c r="C35" s="50"/>
      <c r="E35" s="55">
        <v>-120</v>
      </c>
      <c r="F35" s="63"/>
      <c r="G35" s="56"/>
      <c r="H35" s="61"/>
    </row>
    <row r="36" spans="3:10" x14ac:dyDescent="0.2">
      <c r="C36" s="50">
        <v>29</v>
      </c>
      <c r="E36" s="59"/>
      <c r="F36" s="33"/>
      <c r="H36" s="61"/>
    </row>
    <row r="37" spans="3:10" x14ac:dyDescent="0.2">
      <c r="C37" s="50"/>
      <c r="D37" s="51">
        <v>-108</v>
      </c>
      <c r="E37" s="58"/>
      <c r="F37" s="36"/>
      <c r="G37" s="33"/>
      <c r="H37" s="61"/>
    </row>
    <row r="38" spans="3:10" x14ac:dyDescent="0.2">
      <c r="C38" s="50">
        <v>4</v>
      </c>
      <c r="D38" s="53"/>
      <c r="E38" s="60"/>
      <c r="F38" s="33"/>
      <c r="G38" s="33"/>
      <c r="H38" s="61"/>
    </row>
    <row r="39" spans="3:10" x14ac:dyDescent="0.2">
      <c r="D39" s="50"/>
      <c r="E39" s="33"/>
      <c r="F39" s="36"/>
      <c r="G39" s="33"/>
      <c r="H39" s="67"/>
      <c r="J39" s="56"/>
    </row>
    <row r="40" spans="3:10" x14ac:dyDescent="0.2">
      <c r="D40" s="50"/>
      <c r="E40" s="33"/>
      <c r="F40" s="36"/>
      <c r="G40" s="33"/>
      <c r="H40" s="55">
        <v>-177</v>
      </c>
      <c r="J40" s="56"/>
    </row>
    <row r="41" spans="3:10" x14ac:dyDescent="0.2">
      <c r="D41" s="50"/>
      <c r="E41" s="33"/>
      <c r="F41" s="36"/>
      <c r="G41" s="33"/>
      <c r="H41" s="67"/>
      <c r="I41" s="68"/>
      <c r="J41" s="56"/>
    </row>
    <row r="42" spans="3:10" x14ac:dyDescent="0.2">
      <c r="C42" s="62">
        <v>3</v>
      </c>
      <c r="E42" s="56"/>
      <c r="H42" s="61"/>
      <c r="I42" s="69"/>
    </row>
    <row r="43" spans="3:10" x14ac:dyDescent="0.2">
      <c r="C43" s="50"/>
      <c r="D43" s="51">
        <v>-109</v>
      </c>
      <c r="E43" s="52"/>
      <c r="F43" s="56"/>
      <c r="H43" s="61"/>
      <c r="I43" s="61"/>
    </row>
    <row r="44" spans="3:10" x14ac:dyDescent="0.2">
      <c r="C44" s="50">
        <v>30</v>
      </c>
      <c r="D44" s="53"/>
      <c r="E44" s="54"/>
      <c r="H44" s="61"/>
      <c r="I44" s="61"/>
    </row>
    <row r="45" spans="3:10" x14ac:dyDescent="0.2">
      <c r="C45" s="50"/>
      <c r="E45" s="55">
        <v>-121</v>
      </c>
      <c r="F45" s="33"/>
      <c r="G45" s="56"/>
      <c r="H45" s="61"/>
      <c r="I45" s="61"/>
    </row>
    <row r="46" spans="3:10" x14ac:dyDescent="0.2">
      <c r="C46" s="50">
        <v>19</v>
      </c>
      <c r="E46" s="59"/>
      <c r="F46" s="57"/>
      <c r="H46" s="61"/>
      <c r="I46" s="61"/>
    </row>
    <row r="47" spans="3:10" x14ac:dyDescent="0.2">
      <c r="C47" s="50"/>
      <c r="D47" s="51">
        <v>-110</v>
      </c>
      <c r="E47" s="58"/>
      <c r="F47" s="59"/>
      <c r="H47" s="61"/>
      <c r="I47" s="61"/>
    </row>
    <row r="48" spans="3:10" x14ac:dyDescent="0.2">
      <c r="C48" s="50">
        <v>14</v>
      </c>
      <c r="D48" s="53"/>
      <c r="E48" s="60"/>
      <c r="F48" s="61"/>
      <c r="H48" s="61"/>
      <c r="I48" s="61"/>
    </row>
    <row r="49" spans="3:11" x14ac:dyDescent="0.2">
      <c r="C49" s="62"/>
      <c r="F49" s="55">
        <v>-143</v>
      </c>
      <c r="G49" s="33"/>
      <c r="H49" s="59"/>
      <c r="I49" s="61"/>
    </row>
    <row r="50" spans="3:11" x14ac:dyDescent="0.2">
      <c r="C50" s="35">
        <v>11</v>
      </c>
      <c r="E50" s="56"/>
      <c r="F50" s="61"/>
      <c r="G50" s="57"/>
      <c r="H50" s="61"/>
      <c r="I50" s="61"/>
    </row>
    <row r="51" spans="3:11" x14ac:dyDescent="0.2">
      <c r="C51" s="50"/>
      <c r="D51" s="51">
        <v>-111</v>
      </c>
      <c r="E51" s="52"/>
      <c r="F51" s="59"/>
      <c r="G51" s="61"/>
      <c r="H51" s="61"/>
      <c r="I51" s="61"/>
    </row>
    <row r="52" spans="3:11" x14ac:dyDescent="0.2">
      <c r="C52" s="50">
        <v>22</v>
      </c>
      <c r="D52" s="70"/>
      <c r="E52" s="54"/>
      <c r="F52" s="61"/>
      <c r="G52" s="61"/>
      <c r="H52" s="61"/>
      <c r="I52" s="61"/>
    </row>
    <row r="53" spans="3:11" x14ac:dyDescent="0.2">
      <c r="C53" s="50"/>
      <c r="E53" s="55">
        <v>-122</v>
      </c>
      <c r="F53" s="63"/>
      <c r="G53" s="59"/>
      <c r="H53" s="61"/>
      <c r="I53" s="61"/>
    </row>
    <row r="54" spans="3:11" x14ac:dyDescent="0.2">
      <c r="C54" s="50">
        <v>27</v>
      </c>
      <c r="E54" s="59"/>
      <c r="F54" s="33"/>
      <c r="G54" s="61"/>
      <c r="H54" s="61"/>
      <c r="I54" s="61"/>
    </row>
    <row r="55" spans="3:11" x14ac:dyDescent="0.2">
      <c r="C55" s="50"/>
      <c r="D55" s="51">
        <v>-112</v>
      </c>
      <c r="E55" s="58"/>
      <c r="F55" s="36"/>
      <c r="G55" s="61"/>
      <c r="H55" s="61"/>
      <c r="I55" s="61"/>
    </row>
    <row r="56" spans="3:11" ht="13.5" thickBot="1" x14ac:dyDescent="0.25">
      <c r="C56" s="50">
        <v>6</v>
      </c>
      <c r="D56" s="53"/>
      <c r="E56" s="60"/>
      <c r="F56" s="33"/>
      <c r="G56" s="61"/>
      <c r="H56" s="61"/>
      <c r="I56" s="71" t="s">
        <v>146</v>
      </c>
      <c r="J56" s="72"/>
      <c r="K56" s="73" t="s">
        <v>47</v>
      </c>
    </row>
    <row r="57" spans="3:11" x14ac:dyDescent="0.2">
      <c r="G57" s="55">
        <v>-158</v>
      </c>
      <c r="H57" s="63"/>
      <c r="I57" s="59"/>
      <c r="J57" s="74"/>
      <c r="K57" s="75" t="s">
        <v>148</v>
      </c>
    </row>
    <row r="58" spans="3:11" x14ac:dyDescent="0.2">
      <c r="C58" s="35">
        <v>7</v>
      </c>
      <c r="E58" s="56"/>
      <c r="G58" s="61"/>
      <c r="I58" s="61"/>
      <c r="K58" s="33"/>
    </row>
    <row r="59" spans="3:11" ht="13.5" thickBot="1" x14ac:dyDescent="0.25">
      <c r="C59" s="50"/>
      <c r="D59" s="51">
        <v>-113</v>
      </c>
      <c r="E59" s="52"/>
      <c r="F59" s="56"/>
      <c r="G59" s="61"/>
      <c r="I59" s="61"/>
      <c r="K59" s="76"/>
    </row>
    <row r="60" spans="3:11" x14ac:dyDescent="0.2">
      <c r="C60" s="50">
        <v>26</v>
      </c>
      <c r="D60" s="53"/>
      <c r="E60" s="54"/>
      <c r="F60" s="56"/>
      <c r="G60" s="61"/>
      <c r="I60" s="61"/>
      <c r="K60" s="62" t="s">
        <v>149</v>
      </c>
    </row>
    <row r="61" spans="3:11" x14ac:dyDescent="0.2">
      <c r="C61" s="50"/>
      <c r="E61" s="55">
        <v>-123</v>
      </c>
      <c r="G61" s="59"/>
      <c r="I61" s="61"/>
    </row>
    <row r="62" spans="3:11" x14ac:dyDescent="0.2">
      <c r="C62" s="50">
        <v>23</v>
      </c>
      <c r="E62" s="59"/>
      <c r="F62" s="57"/>
      <c r="G62" s="61"/>
      <c r="I62" s="61"/>
    </row>
    <row r="63" spans="3:11" x14ac:dyDescent="0.2">
      <c r="C63" s="50"/>
      <c r="D63" s="51">
        <v>-114</v>
      </c>
      <c r="E63" s="58"/>
      <c r="F63" s="59"/>
      <c r="G63" s="61"/>
      <c r="I63" s="61"/>
    </row>
    <row r="64" spans="3:11" x14ac:dyDescent="0.2">
      <c r="C64" s="50">
        <v>10</v>
      </c>
      <c r="D64" s="53"/>
      <c r="E64" s="60"/>
      <c r="F64" s="61"/>
      <c r="G64" s="61"/>
      <c r="I64" s="61"/>
    </row>
    <row r="65" spans="1:10" x14ac:dyDescent="0.2">
      <c r="F65" s="55">
        <v>-144</v>
      </c>
      <c r="G65" s="63"/>
      <c r="H65" s="56"/>
      <c r="I65" s="61"/>
    </row>
    <row r="66" spans="1:10" x14ac:dyDescent="0.2">
      <c r="C66" s="35">
        <v>15</v>
      </c>
      <c r="E66" s="56"/>
      <c r="F66" s="61"/>
      <c r="I66" s="61"/>
    </row>
    <row r="67" spans="1:10" x14ac:dyDescent="0.2">
      <c r="C67" s="50"/>
      <c r="D67" s="51">
        <v>-115</v>
      </c>
      <c r="E67" s="52"/>
      <c r="F67" s="59"/>
      <c r="I67" s="61"/>
    </row>
    <row r="68" spans="1:10" x14ac:dyDescent="0.2">
      <c r="C68" s="50">
        <v>18</v>
      </c>
      <c r="D68" s="53"/>
      <c r="E68" s="54"/>
      <c r="F68" s="61"/>
      <c r="I68" s="61"/>
    </row>
    <row r="69" spans="1:10" x14ac:dyDescent="0.2">
      <c r="C69" s="50"/>
      <c r="E69" s="55">
        <v>-124</v>
      </c>
      <c r="F69" s="63"/>
      <c r="G69" s="56"/>
      <c r="I69" s="61"/>
    </row>
    <row r="70" spans="1:10" x14ac:dyDescent="0.2">
      <c r="C70" s="50">
        <v>31</v>
      </c>
      <c r="E70" s="59"/>
      <c r="F70" s="33"/>
      <c r="I70" s="61"/>
    </row>
    <row r="71" spans="1:10" x14ac:dyDescent="0.2">
      <c r="C71" s="50"/>
      <c r="D71" s="51">
        <v>-116</v>
      </c>
      <c r="E71" s="58"/>
      <c r="F71" s="65">
        <v>13</v>
      </c>
      <c r="G71" s="33"/>
      <c r="H71" s="77" t="s">
        <v>173</v>
      </c>
      <c r="I71" s="61"/>
      <c r="J71" s="78"/>
    </row>
    <row r="72" spans="1:10" x14ac:dyDescent="0.2">
      <c r="C72" s="50">
        <v>2</v>
      </c>
      <c r="D72" s="53"/>
      <c r="E72" s="60"/>
      <c r="F72" s="33"/>
      <c r="G72" s="33"/>
      <c r="I72" s="79"/>
    </row>
    <row r="73" spans="1:10" x14ac:dyDescent="0.2">
      <c r="B73" s="33"/>
      <c r="C73" s="36"/>
      <c r="D73" s="33"/>
      <c r="E73" s="33"/>
      <c r="G73" s="33"/>
    </row>
    <row r="74" spans="1:10" x14ac:dyDescent="0.2">
      <c r="A74" s="80" t="s">
        <v>174</v>
      </c>
      <c r="B74" s="24"/>
      <c r="C74" s="33"/>
      <c r="D74" s="62">
        <v>-144</v>
      </c>
      <c r="E74" s="53"/>
      <c r="F74" s="56"/>
      <c r="G74" s="33"/>
    </row>
    <row r="75" spans="1:10" x14ac:dyDescent="0.2">
      <c r="A75" s="35"/>
      <c r="E75" s="57"/>
      <c r="G75" s="33"/>
    </row>
    <row r="76" spans="1:10" x14ac:dyDescent="0.2">
      <c r="A76" s="50"/>
      <c r="B76" s="62">
        <v>-120</v>
      </c>
      <c r="D76" s="56"/>
      <c r="E76" s="61"/>
      <c r="F76" s="33"/>
      <c r="G76" s="56"/>
    </row>
    <row r="77" spans="1:10" x14ac:dyDescent="0.2">
      <c r="A77" s="50"/>
      <c r="B77" s="62"/>
      <c r="C77" s="57"/>
      <c r="D77" s="56"/>
      <c r="E77" s="81">
        <v>163</v>
      </c>
      <c r="F77" s="52"/>
      <c r="G77" s="56"/>
    </row>
    <row r="78" spans="1:10" x14ac:dyDescent="0.2">
      <c r="A78" s="50"/>
      <c r="B78" s="62"/>
      <c r="C78" s="81">
        <v>133</v>
      </c>
      <c r="D78" s="56"/>
      <c r="E78" s="56"/>
      <c r="F78" s="68"/>
    </row>
    <row r="79" spans="1:10" x14ac:dyDescent="0.2">
      <c r="A79" s="50"/>
      <c r="C79" s="59"/>
      <c r="D79" s="68"/>
      <c r="F79" s="69"/>
    </row>
    <row r="80" spans="1:10" x14ac:dyDescent="0.2">
      <c r="A80" s="50">
        <v>-109</v>
      </c>
      <c r="B80" s="82">
        <v>125</v>
      </c>
      <c r="C80" s="58" t="s">
        <v>147</v>
      </c>
      <c r="D80" s="59">
        <v>0</v>
      </c>
      <c r="E80" s="61"/>
      <c r="F80" s="61"/>
    </row>
    <row r="81" spans="1:9" x14ac:dyDescent="0.2">
      <c r="A81" s="50"/>
      <c r="B81" s="53"/>
      <c r="C81" s="60"/>
      <c r="E81" s="69"/>
      <c r="F81" s="69"/>
    </row>
    <row r="82" spans="1:9" x14ac:dyDescent="0.2">
      <c r="A82" s="50">
        <v>-110</v>
      </c>
      <c r="B82" s="33"/>
      <c r="C82" s="36"/>
      <c r="D82" s="83">
        <v>149</v>
      </c>
      <c r="E82" s="58"/>
      <c r="F82" s="64">
        <v>13</v>
      </c>
    </row>
    <row r="83" spans="1:9" x14ac:dyDescent="0.2">
      <c r="A83" s="50"/>
      <c r="B83" s="62">
        <v>-119</v>
      </c>
      <c r="D83" s="59"/>
      <c r="F83" s="61"/>
    </row>
    <row r="84" spans="1:9" x14ac:dyDescent="0.2">
      <c r="B84" s="62"/>
      <c r="C84" s="84"/>
      <c r="D84" s="61"/>
      <c r="F84" s="81">
        <v>173</v>
      </c>
      <c r="H84" s="56"/>
    </row>
    <row r="85" spans="1:9" x14ac:dyDescent="0.2">
      <c r="B85" s="62"/>
      <c r="C85" s="83">
        <v>134</v>
      </c>
      <c r="D85" s="61"/>
      <c r="E85" s="56"/>
      <c r="G85" s="68"/>
    </row>
    <row r="86" spans="1:9" x14ac:dyDescent="0.2">
      <c r="B86" s="33"/>
      <c r="C86" s="59"/>
      <c r="D86" s="85"/>
      <c r="G86" s="69"/>
    </row>
    <row r="87" spans="1:9" x14ac:dyDescent="0.2">
      <c r="A87" s="50">
        <v>-111</v>
      </c>
      <c r="B87" s="82">
        <v>126</v>
      </c>
      <c r="C87" s="58"/>
      <c r="D87" s="56"/>
      <c r="F87" s="61"/>
      <c r="G87" s="61"/>
    </row>
    <row r="88" spans="1:9" x14ac:dyDescent="0.2">
      <c r="A88" s="50"/>
      <c r="B88" s="53"/>
      <c r="C88" s="60"/>
      <c r="D88" s="24">
        <v>-143</v>
      </c>
      <c r="E88" s="56"/>
      <c r="F88" s="59"/>
      <c r="G88" s="61"/>
    </row>
    <row r="89" spans="1:9" x14ac:dyDescent="0.2">
      <c r="A89" s="50">
        <v>-112</v>
      </c>
      <c r="B89" s="33"/>
      <c r="C89" s="36"/>
      <c r="E89" s="57"/>
      <c r="F89" s="69"/>
      <c r="G89" s="61"/>
    </row>
    <row r="90" spans="1:9" x14ac:dyDescent="0.2">
      <c r="A90" s="50"/>
      <c r="B90" s="62">
        <v>-118</v>
      </c>
      <c r="D90" s="56"/>
      <c r="E90" s="61"/>
      <c r="F90" s="61"/>
      <c r="G90" s="61"/>
    </row>
    <row r="91" spans="1:9" x14ac:dyDescent="0.2">
      <c r="A91" s="50"/>
      <c r="B91" s="62"/>
      <c r="C91" s="86"/>
      <c r="E91" s="81">
        <v>164</v>
      </c>
      <c r="F91" s="58"/>
      <c r="G91" s="87"/>
    </row>
    <row r="92" spans="1:9" x14ac:dyDescent="0.2">
      <c r="A92" s="50"/>
      <c r="B92" s="62"/>
      <c r="C92" s="81">
        <v>135</v>
      </c>
      <c r="E92" s="56"/>
      <c r="F92" s="85"/>
      <c r="G92" s="61"/>
    </row>
    <row r="93" spans="1:9" x14ac:dyDescent="0.2">
      <c r="A93" s="50"/>
      <c r="C93" s="59"/>
      <c r="D93" s="57"/>
      <c r="F93" s="74"/>
      <c r="G93" s="88" t="s">
        <v>175</v>
      </c>
      <c r="H93" s="52"/>
      <c r="I93" s="56"/>
    </row>
    <row r="94" spans="1:9" x14ac:dyDescent="0.2">
      <c r="A94" s="50">
        <v>-113</v>
      </c>
      <c r="B94" s="82">
        <v>127</v>
      </c>
      <c r="C94" s="58"/>
      <c r="D94" s="59"/>
      <c r="E94" s="61"/>
      <c r="F94" s="33"/>
      <c r="H94" s="68"/>
    </row>
    <row r="95" spans="1:9" x14ac:dyDescent="0.2">
      <c r="A95" s="50"/>
      <c r="B95" s="53"/>
      <c r="C95" s="60"/>
      <c r="D95" s="83">
        <v>150</v>
      </c>
      <c r="E95" s="58"/>
      <c r="F95" s="36"/>
      <c r="G95" s="61"/>
      <c r="H95" s="61"/>
    </row>
    <row r="96" spans="1:9" x14ac:dyDescent="0.2">
      <c r="A96" s="50">
        <v>-114</v>
      </c>
      <c r="B96" s="33"/>
      <c r="C96" s="36"/>
      <c r="D96" s="61"/>
      <c r="G96" s="61"/>
      <c r="H96" s="61"/>
    </row>
    <row r="97" spans="1:10" x14ac:dyDescent="0.2">
      <c r="A97" s="50"/>
      <c r="B97" s="62">
        <v>-117</v>
      </c>
      <c r="D97" s="59"/>
      <c r="F97" s="33"/>
      <c r="G97" s="61"/>
      <c r="H97" s="61"/>
    </row>
    <row r="98" spans="1:10" x14ac:dyDescent="0.2">
      <c r="A98" s="50"/>
      <c r="B98" s="62"/>
      <c r="C98" s="84"/>
      <c r="D98" s="69"/>
      <c r="F98" s="33"/>
      <c r="G98" s="61"/>
      <c r="H98" s="61"/>
    </row>
    <row r="99" spans="1:10" x14ac:dyDescent="0.2">
      <c r="A99" s="50"/>
      <c r="B99" s="62"/>
      <c r="C99" s="81">
        <v>135</v>
      </c>
      <c r="D99" s="63"/>
      <c r="E99" s="56"/>
      <c r="F99" s="33"/>
      <c r="G99" s="61"/>
      <c r="H99" s="61"/>
    </row>
    <row r="100" spans="1:10" x14ac:dyDescent="0.2">
      <c r="A100" s="50"/>
      <c r="B100" s="33"/>
      <c r="C100" s="59"/>
      <c r="G100" s="61"/>
      <c r="H100" s="61"/>
    </row>
    <row r="101" spans="1:10" x14ac:dyDescent="0.2">
      <c r="A101" s="50">
        <v>-115</v>
      </c>
      <c r="B101" s="89">
        <v>128</v>
      </c>
      <c r="C101" s="63"/>
      <c r="D101" s="56"/>
      <c r="F101" s="90">
        <v>-157</v>
      </c>
      <c r="G101" s="63"/>
      <c r="H101" s="59"/>
    </row>
    <row r="102" spans="1:10" x14ac:dyDescent="0.2">
      <c r="A102" s="50"/>
      <c r="B102" s="53"/>
      <c r="C102" s="60"/>
      <c r="D102" s="24">
        <v>-142</v>
      </c>
      <c r="E102" s="56"/>
      <c r="F102" s="56"/>
      <c r="H102" s="61"/>
    </row>
    <row r="103" spans="1:10" x14ac:dyDescent="0.2">
      <c r="A103" s="62">
        <v>-116</v>
      </c>
      <c r="B103" s="33"/>
      <c r="C103" s="36"/>
      <c r="D103" s="24"/>
      <c r="E103" s="91"/>
      <c r="F103" s="56"/>
      <c r="H103" s="61"/>
    </row>
    <row r="104" spans="1:10" x14ac:dyDescent="0.2">
      <c r="A104" s="62"/>
      <c r="B104" s="62">
        <v>-124</v>
      </c>
      <c r="D104" s="56"/>
      <c r="E104" s="61"/>
      <c r="F104" s="33"/>
      <c r="G104" s="56"/>
      <c r="H104" s="61"/>
    </row>
    <row r="105" spans="1:10" x14ac:dyDescent="0.2">
      <c r="A105" s="50"/>
      <c r="B105" s="62"/>
      <c r="C105" s="84"/>
      <c r="E105" s="81">
        <v>165</v>
      </c>
      <c r="F105" s="52"/>
      <c r="G105" s="56"/>
      <c r="H105" s="61"/>
    </row>
    <row r="106" spans="1:10" x14ac:dyDescent="0.2">
      <c r="A106" s="50"/>
      <c r="B106" s="62"/>
      <c r="C106" s="81">
        <v>137</v>
      </c>
      <c r="E106" s="36"/>
      <c r="F106" s="68"/>
      <c r="G106" s="56"/>
      <c r="H106" s="61"/>
    </row>
    <row r="107" spans="1:10" x14ac:dyDescent="0.2">
      <c r="A107" s="50"/>
      <c r="C107" s="61"/>
      <c r="D107" s="68"/>
      <c r="F107" s="69"/>
      <c r="H107" s="88" t="s">
        <v>176</v>
      </c>
      <c r="I107" s="52"/>
      <c r="J107" s="56"/>
    </row>
    <row r="108" spans="1:10" x14ac:dyDescent="0.2">
      <c r="A108" s="50">
        <v>-101</v>
      </c>
      <c r="B108" s="82">
        <v>129</v>
      </c>
      <c r="C108" s="58"/>
      <c r="D108" s="59"/>
      <c r="E108" s="61"/>
      <c r="F108" s="87"/>
      <c r="H108" s="61"/>
      <c r="I108" s="57"/>
    </row>
    <row r="109" spans="1:10" x14ac:dyDescent="0.2">
      <c r="A109" s="50"/>
      <c r="B109" s="53"/>
      <c r="C109" s="66">
        <v>13</v>
      </c>
      <c r="E109" s="69"/>
      <c r="F109" s="69"/>
      <c r="H109" s="61"/>
      <c r="I109" s="61"/>
    </row>
    <row r="110" spans="1:10" x14ac:dyDescent="0.2">
      <c r="A110" s="50">
        <v>-102</v>
      </c>
      <c r="B110" s="33"/>
      <c r="C110" s="36"/>
      <c r="E110" s="69"/>
      <c r="F110" s="61"/>
      <c r="H110" s="61"/>
      <c r="I110" s="61"/>
    </row>
    <row r="111" spans="1:10" x14ac:dyDescent="0.2">
      <c r="A111" s="50"/>
      <c r="B111" s="33"/>
      <c r="C111" s="36"/>
      <c r="E111" s="69"/>
      <c r="F111" s="61"/>
      <c r="H111" s="61"/>
      <c r="I111" s="61"/>
    </row>
    <row r="112" spans="1:10" x14ac:dyDescent="0.2">
      <c r="A112" s="50"/>
      <c r="B112" s="33"/>
      <c r="C112" s="36"/>
      <c r="D112" s="83">
        <v>151</v>
      </c>
      <c r="E112" s="58"/>
      <c r="F112" s="59"/>
      <c r="H112" s="61"/>
      <c r="I112" s="61"/>
    </row>
    <row r="113" spans="1:11" x14ac:dyDescent="0.2">
      <c r="A113" s="50"/>
      <c r="B113" s="62">
        <v>-123</v>
      </c>
      <c r="D113" s="59"/>
      <c r="F113" s="61"/>
      <c r="H113" s="61"/>
      <c r="I113" s="61"/>
    </row>
    <row r="114" spans="1:11" x14ac:dyDescent="0.2">
      <c r="B114" s="62"/>
      <c r="C114" s="84"/>
      <c r="D114" s="61"/>
      <c r="F114" s="81">
        <v>174</v>
      </c>
      <c r="H114" s="59"/>
      <c r="I114" s="61"/>
    </row>
    <row r="115" spans="1:11" x14ac:dyDescent="0.2">
      <c r="B115" s="62"/>
      <c r="C115" s="81">
        <v>138</v>
      </c>
      <c r="D115" s="61"/>
      <c r="E115" s="56"/>
      <c r="F115" s="33"/>
      <c r="G115" s="68"/>
      <c r="H115" s="61"/>
      <c r="I115" s="61"/>
    </row>
    <row r="116" spans="1:11" x14ac:dyDescent="0.2">
      <c r="B116" s="33"/>
      <c r="C116" s="59"/>
      <c r="D116" s="85"/>
      <c r="G116" s="69"/>
      <c r="H116" s="61"/>
      <c r="I116" s="61"/>
    </row>
    <row r="117" spans="1:11" x14ac:dyDescent="0.2">
      <c r="A117" s="50">
        <v>-103</v>
      </c>
      <c r="B117" s="82">
        <v>130</v>
      </c>
      <c r="C117" s="58"/>
      <c r="D117" s="56"/>
      <c r="F117" s="61"/>
      <c r="G117" s="61"/>
      <c r="H117" s="61"/>
      <c r="I117" s="61"/>
    </row>
    <row r="118" spans="1:11" x14ac:dyDescent="0.2">
      <c r="A118" s="50"/>
      <c r="B118" s="53"/>
      <c r="C118" s="60"/>
      <c r="D118" s="24">
        <v>-141</v>
      </c>
      <c r="E118" s="56"/>
      <c r="F118" s="59"/>
      <c r="G118" s="61"/>
      <c r="H118" s="61"/>
      <c r="I118" s="61"/>
    </row>
    <row r="119" spans="1:11" x14ac:dyDescent="0.2">
      <c r="A119" s="50">
        <v>-104</v>
      </c>
      <c r="B119" s="33"/>
      <c r="C119" s="36"/>
      <c r="D119" s="24"/>
      <c r="E119" s="91"/>
      <c r="F119" s="59"/>
      <c r="G119" s="61"/>
      <c r="H119" s="61"/>
      <c r="I119" s="61"/>
    </row>
    <row r="120" spans="1:11" x14ac:dyDescent="0.2">
      <c r="A120" s="50"/>
      <c r="B120" s="62">
        <v>-122</v>
      </c>
      <c r="D120" s="56"/>
      <c r="E120" s="61"/>
      <c r="F120" s="61"/>
      <c r="G120" s="61"/>
      <c r="H120" s="61"/>
      <c r="I120" s="88" t="s">
        <v>177</v>
      </c>
      <c r="J120" s="53"/>
      <c r="K120" s="92" t="s">
        <v>178</v>
      </c>
    </row>
    <row r="121" spans="1:11" x14ac:dyDescent="0.2">
      <c r="A121" s="50"/>
      <c r="B121" s="62"/>
      <c r="C121" s="84"/>
      <c r="E121" s="81">
        <v>166</v>
      </c>
      <c r="F121" s="58"/>
      <c r="G121" s="93">
        <v>13</v>
      </c>
      <c r="H121" s="61"/>
      <c r="I121" s="94"/>
      <c r="J121" s="33"/>
    </row>
    <row r="122" spans="1:11" x14ac:dyDescent="0.2">
      <c r="A122" s="50"/>
      <c r="B122" s="62"/>
      <c r="C122" s="81">
        <v>139</v>
      </c>
      <c r="E122" s="36"/>
      <c r="F122" s="85"/>
      <c r="G122" s="88" t="s">
        <v>179</v>
      </c>
      <c r="H122" s="63"/>
      <c r="I122" s="59"/>
      <c r="J122" s="33"/>
    </row>
    <row r="123" spans="1:11" x14ac:dyDescent="0.2">
      <c r="A123" s="50"/>
      <c r="C123" s="61"/>
      <c r="D123" s="68"/>
      <c r="F123" s="74"/>
      <c r="H123" s="85"/>
      <c r="I123" s="61"/>
    </row>
    <row r="124" spans="1:11" x14ac:dyDescent="0.2">
      <c r="A124" s="50">
        <v>-105</v>
      </c>
      <c r="B124" s="82">
        <v>131</v>
      </c>
      <c r="C124" s="58"/>
      <c r="D124" s="59"/>
      <c r="E124" s="61"/>
      <c r="F124" s="33"/>
      <c r="H124" s="74"/>
      <c r="I124" s="61"/>
    </row>
    <row r="125" spans="1:11" x14ac:dyDescent="0.2">
      <c r="A125" s="50"/>
      <c r="B125" s="53"/>
      <c r="C125" s="60"/>
      <c r="E125" s="69"/>
      <c r="G125" s="61"/>
      <c r="I125" s="61"/>
    </row>
    <row r="126" spans="1:11" x14ac:dyDescent="0.2">
      <c r="A126" s="50">
        <v>-106</v>
      </c>
      <c r="B126" s="33"/>
      <c r="C126" s="36"/>
      <c r="D126" s="83">
        <v>152</v>
      </c>
      <c r="E126" s="58"/>
      <c r="F126" s="36"/>
      <c r="G126" s="61"/>
      <c r="I126" s="61"/>
    </row>
    <row r="127" spans="1:11" x14ac:dyDescent="0.2">
      <c r="A127" s="50"/>
      <c r="B127" s="62">
        <v>-121</v>
      </c>
      <c r="D127" s="59"/>
      <c r="F127" s="33"/>
      <c r="G127" s="61"/>
      <c r="I127" s="61"/>
    </row>
    <row r="128" spans="1:11" x14ac:dyDescent="0.2">
      <c r="A128" s="50"/>
      <c r="B128" s="62"/>
      <c r="C128" s="84"/>
      <c r="D128" s="61"/>
      <c r="F128" s="33"/>
      <c r="G128" s="61"/>
      <c r="I128" s="61"/>
    </row>
    <row r="129" spans="1:11" x14ac:dyDescent="0.2">
      <c r="A129" s="50"/>
      <c r="B129" s="62"/>
      <c r="C129" s="81">
        <v>140</v>
      </c>
      <c r="D129" s="63"/>
      <c r="E129" s="56"/>
      <c r="F129" s="33"/>
      <c r="G129" s="61"/>
      <c r="I129" s="61"/>
    </row>
    <row r="130" spans="1:11" x14ac:dyDescent="0.2">
      <c r="A130" s="50"/>
      <c r="B130" s="33"/>
      <c r="C130" s="59"/>
      <c r="E130" s="56"/>
      <c r="F130" s="90">
        <v>-158</v>
      </c>
      <c r="G130" s="63"/>
      <c r="H130" s="56"/>
      <c r="I130" s="61"/>
    </row>
    <row r="131" spans="1:11" x14ac:dyDescent="0.2">
      <c r="A131" s="50">
        <v>-107</v>
      </c>
      <c r="B131" s="82">
        <v>132</v>
      </c>
      <c r="C131" s="58"/>
      <c r="D131" s="56"/>
      <c r="F131" s="33"/>
      <c r="G131" s="79"/>
      <c r="I131" s="61"/>
    </row>
    <row r="132" spans="1:11" x14ac:dyDescent="0.2">
      <c r="A132" s="50"/>
      <c r="B132" s="53"/>
      <c r="C132" s="60"/>
      <c r="D132" s="36"/>
      <c r="E132" s="56"/>
      <c r="H132" s="62">
        <v>-177</v>
      </c>
      <c r="I132" s="63"/>
      <c r="J132" s="56" t="s">
        <v>20</v>
      </c>
    </row>
    <row r="133" spans="1:11" ht="13.5" thickBot="1" x14ac:dyDescent="0.25">
      <c r="A133" s="62">
        <v>-108</v>
      </c>
      <c r="B133" s="33"/>
      <c r="C133" s="36"/>
      <c r="D133" s="36"/>
      <c r="E133" s="56"/>
      <c r="F133" s="33"/>
    </row>
    <row r="134" spans="1:11" x14ac:dyDescent="0.2">
      <c r="B134" s="33"/>
      <c r="C134" s="36"/>
      <c r="D134" s="36"/>
      <c r="E134" s="56"/>
      <c r="F134" s="33"/>
      <c r="K134" s="75" t="s">
        <v>150</v>
      </c>
    </row>
    <row r="135" spans="1:11" x14ac:dyDescent="0.2">
      <c r="B135" s="33"/>
      <c r="C135" s="36"/>
      <c r="D135" s="36"/>
      <c r="E135" s="56"/>
      <c r="F135" s="33"/>
    </row>
    <row r="136" spans="1:11" ht="13.5" thickBot="1" x14ac:dyDescent="0.25">
      <c r="B136" s="33"/>
      <c r="C136" s="36"/>
      <c r="D136" s="36"/>
      <c r="E136" s="56"/>
      <c r="F136" s="33"/>
      <c r="K136" s="33"/>
    </row>
    <row r="137" spans="1:11" x14ac:dyDescent="0.2">
      <c r="B137" s="33"/>
      <c r="C137" s="36"/>
      <c r="D137" s="36"/>
      <c r="E137" s="56"/>
      <c r="F137" s="33"/>
      <c r="K137" s="75" t="s">
        <v>151</v>
      </c>
    </row>
    <row r="139" spans="1:11" x14ac:dyDescent="0.2">
      <c r="A139" s="49" t="s">
        <v>180</v>
      </c>
    </row>
    <row r="140" spans="1:11" x14ac:dyDescent="0.2">
      <c r="H140" s="50" t="s">
        <v>175</v>
      </c>
      <c r="J140" s="36"/>
      <c r="K140" s="33"/>
    </row>
    <row r="141" spans="1:11" ht="13.5" thickBot="1" x14ac:dyDescent="0.25">
      <c r="I141" s="57"/>
      <c r="J141" s="76"/>
      <c r="K141" s="76"/>
    </row>
    <row r="142" spans="1:11" x14ac:dyDescent="0.2">
      <c r="H142" s="50" t="s">
        <v>179</v>
      </c>
      <c r="I142" s="63"/>
      <c r="J142" s="56" t="s">
        <v>20</v>
      </c>
      <c r="K142" s="90" t="s">
        <v>152</v>
      </c>
    </row>
    <row r="143" spans="1:11" x14ac:dyDescent="0.2">
      <c r="K143" s="33"/>
    </row>
    <row r="144" spans="1:11" ht="13.5" thickBot="1" x14ac:dyDescent="0.25">
      <c r="I144" s="33"/>
      <c r="K144" s="76"/>
    </row>
    <row r="145" spans="1:11" x14ac:dyDescent="0.2">
      <c r="J145" s="33"/>
      <c r="K145" s="90" t="s">
        <v>153</v>
      </c>
    </row>
    <row r="146" spans="1:11" x14ac:dyDescent="0.2">
      <c r="J146" s="33"/>
      <c r="K146" s="90"/>
    </row>
    <row r="147" spans="1:11" x14ac:dyDescent="0.2">
      <c r="A147" s="49" t="s">
        <v>181</v>
      </c>
      <c r="J147" s="33"/>
      <c r="K147" s="90"/>
    </row>
    <row r="148" spans="1:11" x14ac:dyDescent="0.2">
      <c r="H148" s="62">
        <v>173</v>
      </c>
      <c r="J148" s="36"/>
      <c r="K148" s="33"/>
    </row>
    <row r="149" spans="1:11" ht="13.5" thickBot="1" x14ac:dyDescent="0.25">
      <c r="I149" s="57"/>
      <c r="J149" s="76"/>
      <c r="K149" s="76"/>
    </row>
    <row r="150" spans="1:11" x14ac:dyDescent="0.2">
      <c r="H150" s="62">
        <v>174</v>
      </c>
      <c r="I150" s="63"/>
      <c r="J150" s="56"/>
      <c r="K150" s="90" t="s">
        <v>154</v>
      </c>
    </row>
    <row r="151" spans="1:11" x14ac:dyDescent="0.2">
      <c r="K151" s="33"/>
    </row>
    <row r="152" spans="1:11" ht="13.5" thickBot="1" x14ac:dyDescent="0.25">
      <c r="K152" s="76"/>
    </row>
    <row r="153" spans="1:11" x14ac:dyDescent="0.2">
      <c r="A153" s="80" t="s">
        <v>182</v>
      </c>
      <c r="J153" s="33"/>
      <c r="K153" s="90" t="s">
        <v>155</v>
      </c>
    </row>
    <row r="154" spans="1:11" x14ac:dyDescent="0.2">
      <c r="B154" s="33"/>
      <c r="D154" s="33"/>
      <c r="E154" s="33"/>
      <c r="F154" s="33"/>
      <c r="G154" s="35">
        <v>163</v>
      </c>
      <c r="I154" s="56"/>
    </row>
    <row r="155" spans="1:11" x14ac:dyDescent="0.2">
      <c r="G155" s="50"/>
      <c r="H155" s="95" t="s">
        <v>138</v>
      </c>
      <c r="I155" s="53"/>
      <c r="J155" s="36"/>
    </row>
    <row r="156" spans="1:11" x14ac:dyDescent="0.2">
      <c r="G156" s="50">
        <v>164</v>
      </c>
      <c r="H156" s="63"/>
      <c r="I156" s="91"/>
    </row>
    <row r="157" spans="1:11" ht="13.5" thickBot="1" x14ac:dyDescent="0.25">
      <c r="G157" s="50"/>
      <c r="I157" s="61"/>
    </row>
    <row r="158" spans="1:11" x14ac:dyDescent="0.2">
      <c r="G158" s="50">
        <v>165</v>
      </c>
      <c r="I158" s="59"/>
      <c r="J158" s="96"/>
      <c r="K158" s="75" t="s">
        <v>156</v>
      </c>
    </row>
    <row r="159" spans="1:11" x14ac:dyDescent="0.2">
      <c r="G159" s="50"/>
      <c r="H159" s="95" t="s">
        <v>170</v>
      </c>
      <c r="I159" s="63"/>
      <c r="J159" s="36"/>
    </row>
    <row r="160" spans="1:11" ht="13.5" thickBot="1" x14ac:dyDescent="0.25">
      <c r="G160" s="50">
        <v>166</v>
      </c>
      <c r="H160" s="63"/>
      <c r="I160" s="56"/>
      <c r="J160" s="33"/>
      <c r="K160" s="33"/>
    </row>
    <row r="161" spans="1:11" x14ac:dyDescent="0.2">
      <c r="G161" s="62"/>
      <c r="J161" s="33"/>
      <c r="K161" s="75" t="s">
        <v>157</v>
      </c>
    </row>
    <row r="162" spans="1:11" x14ac:dyDescent="0.2">
      <c r="G162" s="62"/>
      <c r="H162" s="50" t="s">
        <v>138</v>
      </c>
      <c r="J162" s="36"/>
      <c r="K162" s="33"/>
    </row>
    <row r="163" spans="1:11" ht="13.5" thickBot="1" x14ac:dyDescent="0.25">
      <c r="G163" s="62"/>
      <c r="I163" s="57"/>
      <c r="J163" s="76"/>
      <c r="K163" s="76"/>
    </row>
    <row r="164" spans="1:11" x14ac:dyDescent="0.2">
      <c r="G164" s="62"/>
      <c r="H164" s="50" t="s">
        <v>170</v>
      </c>
      <c r="I164" s="63"/>
      <c r="J164" s="56"/>
      <c r="K164" s="90" t="s">
        <v>158</v>
      </c>
    </row>
    <row r="165" spans="1:11" x14ac:dyDescent="0.2">
      <c r="G165" s="62"/>
      <c r="K165" s="33"/>
    </row>
    <row r="166" spans="1:11" ht="13.5" thickBot="1" x14ac:dyDescent="0.25">
      <c r="G166" s="62"/>
      <c r="I166" s="33"/>
      <c r="K166" s="76"/>
    </row>
    <row r="167" spans="1:11" x14ac:dyDescent="0.2">
      <c r="G167" s="62"/>
      <c r="J167" s="33"/>
      <c r="K167" s="90" t="s">
        <v>159</v>
      </c>
    </row>
    <row r="168" spans="1:11" x14ac:dyDescent="0.2">
      <c r="A168" s="80" t="s">
        <v>183</v>
      </c>
      <c r="B168" s="33"/>
      <c r="D168" s="33"/>
      <c r="E168" s="33"/>
      <c r="F168" s="33"/>
      <c r="G168" s="33"/>
    </row>
    <row r="169" spans="1:11" x14ac:dyDescent="0.2">
      <c r="G169" s="35">
        <v>149</v>
      </c>
      <c r="I169" s="56"/>
    </row>
    <row r="170" spans="1:11" x14ac:dyDescent="0.2">
      <c r="G170" s="50"/>
      <c r="H170" s="95" t="s">
        <v>184</v>
      </c>
      <c r="I170" s="53"/>
      <c r="J170" s="36"/>
    </row>
    <row r="171" spans="1:11" x14ac:dyDescent="0.2">
      <c r="G171" s="50">
        <v>150</v>
      </c>
      <c r="H171" s="63"/>
      <c r="I171" s="91"/>
    </row>
    <row r="172" spans="1:11" ht="13.5" thickBot="1" x14ac:dyDescent="0.25">
      <c r="G172" s="50"/>
      <c r="I172" s="61"/>
    </row>
    <row r="173" spans="1:11" x14ac:dyDescent="0.2">
      <c r="G173" s="50">
        <v>151</v>
      </c>
      <c r="I173" s="59"/>
      <c r="J173" s="96"/>
      <c r="K173" s="75" t="s">
        <v>160</v>
      </c>
    </row>
    <row r="174" spans="1:11" x14ac:dyDescent="0.2">
      <c r="G174" s="50"/>
      <c r="H174" s="95" t="s">
        <v>185</v>
      </c>
      <c r="I174" s="63"/>
      <c r="J174" s="36"/>
    </row>
    <row r="175" spans="1:11" ht="13.5" thickBot="1" x14ac:dyDescent="0.25">
      <c r="G175" s="50">
        <v>152</v>
      </c>
      <c r="H175" s="63"/>
      <c r="I175" s="56"/>
      <c r="J175" s="33"/>
      <c r="K175" s="33"/>
    </row>
    <row r="176" spans="1:11" x14ac:dyDescent="0.2">
      <c r="G176" s="62"/>
      <c r="J176" s="33"/>
      <c r="K176" s="75" t="s">
        <v>161</v>
      </c>
    </row>
    <row r="177" spans="1:11" x14ac:dyDescent="0.2">
      <c r="G177" s="62"/>
      <c r="H177" s="50" t="s">
        <v>184</v>
      </c>
      <c r="J177" s="36"/>
      <c r="K177" s="33"/>
    </row>
    <row r="178" spans="1:11" ht="13.5" thickBot="1" x14ac:dyDescent="0.25">
      <c r="G178" s="62"/>
      <c r="I178" s="57"/>
      <c r="J178" s="76"/>
      <c r="K178" s="76"/>
    </row>
    <row r="179" spans="1:11" x14ac:dyDescent="0.2">
      <c r="G179" s="62"/>
      <c r="H179" s="50" t="s">
        <v>185</v>
      </c>
      <c r="I179" s="63"/>
      <c r="J179" s="56"/>
      <c r="K179" s="90" t="s">
        <v>162</v>
      </c>
    </row>
    <row r="180" spans="1:11" x14ac:dyDescent="0.2">
      <c r="G180" s="62"/>
      <c r="K180" s="33"/>
    </row>
    <row r="181" spans="1:11" ht="13.5" thickBot="1" x14ac:dyDescent="0.25">
      <c r="G181" s="62"/>
      <c r="I181" s="33"/>
      <c r="K181" s="76"/>
    </row>
    <row r="182" spans="1:11" x14ac:dyDescent="0.2">
      <c r="G182" s="62"/>
      <c r="J182" s="33"/>
      <c r="K182" s="90" t="s">
        <v>163</v>
      </c>
    </row>
    <row r="183" spans="1:11" x14ac:dyDescent="0.2">
      <c r="G183" s="62"/>
      <c r="J183" s="33"/>
      <c r="K183" s="90"/>
    </row>
    <row r="184" spans="1:11" x14ac:dyDescent="0.2">
      <c r="A184" s="49" t="s">
        <v>186</v>
      </c>
      <c r="G184" s="62"/>
      <c r="J184" s="33"/>
      <c r="K184" s="90"/>
    </row>
    <row r="185" spans="1:11" x14ac:dyDescent="0.2">
      <c r="B185" s="33"/>
      <c r="C185" s="36"/>
      <c r="D185" s="36"/>
      <c r="E185" s="56"/>
      <c r="F185" s="35">
        <v>133</v>
      </c>
      <c r="H185" s="56"/>
      <c r="K185" s="33"/>
    </row>
    <row r="186" spans="1:11" x14ac:dyDescent="0.2">
      <c r="A186" s="49"/>
      <c r="F186" s="50"/>
      <c r="G186" s="97">
        <v>153</v>
      </c>
      <c r="H186" s="52"/>
      <c r="I186" s="56"/>
      <c r="K186" s="33"/>
    </row>
    <row r="187" spans="1:11" x14ac:dyDescent="0.2">
      <c r="F187" s="50">
        <v>134</v>
      </c>
      <c r="G187" s="53"/>
      <c r="H187" s="54"/>
      <c r="K187" s="33"/>
    </row>
    <row r="188" spans="1:11" x14ac:dyDescent="0.2">
      <c r="F188" s="50"/>
      <c r="H188" s="67">
        <v>169</v>
      </c>
      <c r="I188" s="33"/>
      <c r="J188" s="56"/>
      <c r="K188" s="33"/>
    </row>
    <row r="189" spans="1:11" x14ac:dyDescent="0.2">
      <c r="F189" s="50">
        <v>135</v>
      </c>
      <c r="H189" s="59"/>
      <c r="I189" s="57"/>
      <c r="K189" s="33"/>
    </row>
    <row r="190" spans="1:11" x14ac:dyDescent="0.2">
      <c r="F190" s="50"/>
      <c r="G190" s="97">
        <v>154</v>
      </c>
      <c r="H190" s="58"/>
      <c r="I190" s="59"/>
      <c r="K190" s="33"/>
    </row>
    <row r="191" spans="1:11" x14ac:dyDescent="0.2">
      <c r="F191" s="50">
        <v>136</v>
      </c>
      <c r="G191" s="53"/>
      <c r="H191" s="60"/>
      <c r="I191" s="61"/>
      <c r="K191" s="33"/>
    </row>
    <row r="192" spans="1:11" ht="13.5" thickBot="1" x14ac:dyDescent="0.25">
      <c r="F192" s="62"/>
      <c r="I192" s="67"/>
      <c r="J192" s="72"/>
      <c r="K192" s="33"/>
    </row>
    <row r="193" spans="1:11" x14ac:dyDescent="0.2">
      <c r="F193" s="35">
        <v>137</v>
      </c>
      <c r="H193" s="56"/>
      <c r="I193" s="61"/>
      <c r="J193" s="33"/>
      <c r="K193" s="75" t="s">
        <v>164</v>
      </c>
    </row>
    <row r="194" spans="1:11" x14ac:dyDescent="0.2">
      <c r="F194" s="50"/>
      <c r="G194" s="97">
        <v>155</v>
      </c>
      <c r="H194" s="52"/>
      <c r="I194" s="59"/>
      <c r="J194" s="33"/>
      <c r="K194" s="33"/>
    </row>
    <row r="195" spans="1:11" ht="13.5" thickBot="1" x14ac:dyDescent="0.25">
      <c r="F195" s="50">
        <v>138</v>
      </c>
      <c r="G195" s="53"/>
      <c r="H195" s="54"/>
      <c r="I195" s="61"/>
      <c r="J195" s="90"/>
      <c r="K195" s="76"/>
    </row>
    <row r="196" spans="1:11" x14ac:dyDescent="0.2">
      <c r="F196" s="50"/>
      <c r="H196" s="67">
        <v>170</v>
      </c>
      <c r="I196" s="63"/>
      <c r="J196" s="36"/>
      <c r="K196" s="90" t="s">
        <v>165</v>
      </c>
    </row>
    <row r="197" spans="1:11" x14ac:dyDescent="0.2">
      <c r="F197" s="50">
        <v>139</v>
      </c>
      <c r="H197" s="59"/>
      <c r="I197" s="33"/>
      <c r="J197" s="33"/>
      <c r="K197" s="33"/>
    </row>
    <row r="198" spans="1:11" x14ac:dyDescent="0.2">
      <c r="F198" s="50"/>
      <c r="G198" s="97">
        <v>156</v>
      </c>
      <c r="H198" s="58"/>
      <c r="I198" s="36"/>
      <c r="J198" s="33"/>
      <c r="K198" s="33"/>
    </row>
    <row r="199" spans="1:11" x14ac:dyDescent="0.2">
      <c r="F199" s="50">
        <v>140</v>
      </c>
      <c r="G199" s="53"/>
      <c r="H199" s="60" t="s">
        <v>20</v>
      </c>
      <c r="I199" s="33"/>
      <c r="J199" s="33"/>
      <c r="K199" s="33"/>
    </row>
    <row r="200" spans="1:11" x14ac:dyDescent="0.2">
      <c r="A200" s="49" t="s">
        <v>187</v>
      </c>
      <c r="D200" s="98" t="s">
        <v>608</v>
      </c>
      <c r="E200" s="33"/>
      <c r="G200" s="33"/>
      <c r="H200" s="33"/>
      <c r="I200" s="33"/>
      <c r="J200" s="36"/>
      <c r="K200" s="33"/>
    </row>
    <row r="201" spans="1:11" x14ac:dyDescent="0.2">
      <c r="E201" s="33"/>
      <c r="G201" s="33"/>
      <c r="H201" s="33"/>
      <c r="I201" s="33"/>
      <c r="J201" s="33"/>
      <c r="K201" s="33"/>
    </row>
    <row r="202" spans="1:11" x14ac:dyDescent="0.2">
      <c r="A202" s="30">
        <v>1</v>
      </c>
      <c r="B202" s="32" t="s">
        <v>47</v>
      </c>
      <c r="C202" s="50">
        <v>1</v>
      </c>
      <c r="D202" s="100" t="s">
        <v>611</v>
      </c>
      <c r="E202" s="33"/>
      <c r="G202" s="33"/>
      <c r="H202" s="33"/>
      <c r="I202" s="33"/>
      <c r="J202" s="36"/>
      <c r="K202" s="33"/>
    </row>
    <row r="203" spans="1:11" x14ac:dyDescent="0.2">
      <c r="A203" s="30">
        <v>2</v>
      </c>
      <c r="B203" s="202" t="s">
        <v>345</v>
      </c>
      <c r="C203" s="50">
        <v>2</v>
      </c>
      <c r="D203" s="101" t="s">
        <v>612</v>
      </c>
      <c r="E203" s="33"/>
      <c r="G203" s="33"/>
      <c r="H203" s="33"/>
      <c r="I203" s="33"/>
      <c r="J203" s="33"/>
      <c r="K203" s="33"/>
    </row>
    <row r="204" spans="1:11" x14ac:dyDescent="0.2">
      <c r="A204" s="30">
        <v>3</v>
      </c>
      <c r="B204" s="203" t="s">
        <v>451</v>
      </c>
      <c r="C204" s="50">
        <v>3</v>
      </c>
      <c r="D204" s="102" t="s">
        <v>613</v>
      </c>
      <c r="E204" s="33"/>
      <c r="G204" s="33"/>
      <c r="H204" s="33"/>
      <c r="I204" s="33"/>
      <c r="J204" s="33"/>
      <c r="K204" s="33"/>
    </row>
    <row r="205" spans="1:11" x14ac:dyDescent="0.2">
      <c r="A205" s="30">
        <v>4</v>
      </c>
      <c r="B205" s="10" t="s">
        <v>344</v>
      </c>
      <c r="C205" s="50"/>
      <c r="G205" s="33"/>
      <c r="H205" s="33"/>
      <c r="I205" s="33"/>
      <c r="J205" s="33"/>
      <c r="K205" s="33"/>
    </row>
    <row r="206" spans="1:11" x14ac:dyDescent="0.2">
      <c r="A206" s="30">
        <v>5</v>
      </c>
      <c r="B206" s="201" t="s">
        <v>15</v>
      </c>
      <c r="C206" s="50"/>
      <c r="G206" s="35"/>
      <c r="I206" s="56"/>
    </row>
    <row r="207" spans="1:11" x14ac:dyDescent="0.2">
      <c r="A207" s="30">
        <v>6</v>
      </c>
      <c r="B207" s="10" t="s">
        <v>48</v>
      </c>
      <c r="C207" s="62"/>
      <c r="D207" s="98" t="s">
        <v>188</v>
      </c>
      <c r="E207" s="1053"/>
    </row>
    <row r="208" spans="1:11" x14ac:dyDescent="0.2">
      <c r="A208" s="30">
        <v>7</v>
      </c>
      <c r="B208" s="10" t="s">
        <v>45</v>
      </c>
      <c r="C208" s="62"/>
      <c r="D208" s="1051"/>
      <c r="E208" s="1053"/>
    </row>
    <row r="209" spans="1:7" x14ac:dyDescent="0.2">
      <c r="A209" s="30">
        <v>8</v>
      </c>
      <c r="B209" s="10" t="s">
        <v>53</v>
      </c>
      <c r="C209" s="50">
        <v>1</v>
      </c>
      <c r="D209" s="100"/>
      <c r="E209" s="1053"/>
      <c r="F209" s="103"/>
      <c r="G209" s="48"/>
    </row>
    <row r="210" spans="1:7" x14ac:dyDescent="0.2">
      <c r="A210" s="30">
        <v>9</v>
      </c>
      <c r="B210" s="10" t="s">
        <v>347</v>
      </c>
      <c r="C210" s="50">
        <v>2</v>
      </c>
      <c r="D210" s="101"/>
      <c r="E210" s="1053"/>
      <c r="F210" s="103"/>
      <c r="G210" s="48"/>
    </row>
    <row r="211" spans="1:7" x14ac:dyDescent="0.2">
      <c r="A211" s="30">
        <v>10</v>
      </c>
      <c r="B211" s="10" t="s">
        <v>414</v>
      </c>
      <c r="C211" s="50">
        <v>3</v>
      </c>
      <c r="D211" s="102"/>
      <c r="E211" s="1053"/>
    </row>
    <row r="212" spans="1:7" x14ac:dyDescent="0.2">
      <c r="A212" s="30">
        <v>11</v>
      </c>
      <c r="B212" s="10" t="s">
        <v>56</v>
      </c>
      <c r="C212" s="50">
        <v>4</v>
      </c>
      <c r="D212" s="1051"/>
      <c r="E212" s="1051"/>
    </row>
    <row r="213" spans="1:7" x14ac:dyDescent="0.2">
      <c r="A213" s="30">
        <v>12</v>
      </c>
      <c r="B213" s="10" t="s">
        <v>609</v>
      </c>
      <c r="C213" s="50">
        <v>5</v>
      </c>
      <c r="D213" s="1051"/>
      <c r="E213" s="1051"/>
    </row>
    <row r="214" spans="1:7" x14ac:dyDescent="0.2">
      <c r="A214" s="30">
        <v>13</v>
      </c>
      <c r="B214" s="10" t="s">
        <v>50</v>
      </c>
      <c r="C214" s="50">
        <v>6</v>
      </c>
      <c r="D214" s="1051"/>
      <c r="E214" s="1051"/>
    </row>
    <row r="215" spans="1:7" x14ac:dyDescent="0.2">
      <c r="A215" s="30">
        <v>14</v>
      </c>
      <c r="B215" s="10" t="s">
        <v>55</v>
      </c>
      <c r="C215" s="50">
        <v>7</v>
      </c>
      <c r="D215" s="1051"/>
      <c r="E215" s="1051"/>
    </row>
    <row r="216" spans="1:7" x14ac:dyDescent="0.2">
      <c r="A216" s="30">
        <v>15</v>
      </c>
      <c r="B216" s="10" t="s">
        <v>610</v>
      </c>
      <c r="C216" s="50">
        <v>8</v>
      </c>
      <c r="D216" s="1051"/>
      <c r="E216" s="1051"/>
    </row>
    <row r="217" spans="1:7" x14ac:dyDescent="0.2">
      <c r="A217" s="1051"/>
      <c r="B217" s="1051"/>
      <c r="C217" s="50">
        <v>9</v>
      </c>
      <c r="D217" s="103"/>
      <c r="E217" s="1051"/>
    </row>
    <row r="218" spans="1:7" x14ac:dyDescent="0.2">
      <c r="A218" s="1051"/>
      <c r="B218" s="1051"/>
      <c r="C218" s="50">
        <v>10</v>
      </c>
      <c r="D218" s="1051"/>
      <c r="E218" s="1051"/>
    </row>
    <row r="219" spans="1:7" x14ac:dyDescent="0.2">
      <c r="A219" s="1051"/>
      <c r="B219" s="1051"/>
      <c r="C219" s="50">
        <v>11</v>
      </c>
      <c r="D219" s="103"/>
      <c r="E219" s="1051"/>
    </row>
    <row r="220" spans="1:7" x14ac:dyDescent="0.2">
      <c r="A220" s="1051"/>
      <c r="B220" s="1051"/>
      <c r="C220" s="50">
        <v>12</v>
      </c>
      <c r="D220" s="1051"/>
      <c r="E220" s="1051"/>
    </row>
    <row r="221" spans="1:7" x14ac:dyDescent="0.2">
      <c r="A221" s="1051"/>
      <c r="B221" s="1051"/>
      <c r="C221" s="50">
        <v>13</v>
      </c>
      <c r="D221" s="1051"/>
      <c r="E221" s="1051"/>
    </row>
  </sheetData>
  <pageMargins left="0.78740157480314965" right="0.39370078740157483" top="0.59055118110236227" bottom="0.39370078740157483" header="0.39370078740157483" footer="0"/>
  <pageSetup paperSize="9" fitToHeight="0" orientation="landscape" r:id="rId1"/>
  <headerFooter>
    <oddHeader>&amp;R&amp;"Arial,Regular"&amp;9Page &amp;P of &amp;N</oddHeader>
  </headerFooter>
  <rowBreaks count="5" manualBreakCount="5">
    <brk id="40" max="24" man="1"/>
    <brk id="72" max="24" man="1"/>
    <brk id="110" max="24" man="1"/>
    <brk id="145" max="24" man="1"/>
    <brk id="182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77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35.5703125" style="12" bestFit="1" customWidth="1"/>
    <col min="3" max="4" width="7.28515625" style="12" customWidth="1"/>
    <col min="5" max="5" width="9.140625" style="12" bestFit="1" customWidth="1"/>
    <col min="6" max="6" width="7.28515625" style="12" customWidth="1"/>
    <col min="7" max="7" width="5.140625" style="12" customWidth="1"/>
    <col min="8" max="8" width="7.28515625" style="12" customWidth="1"/>
    <col min="9" max="9" width="5.7109375" style="12" customWidth="1"/>
    <col min="10" max="16384" width="9.140625" style="12"/>
  </cols>
  <sheetData>
    <row r="1" spans="1:14" x14ac:dyDescent="0.2">
      <c r="A1" s="11" t="str">
        <f>UPPER((Kalend!E23)&amp;" - "&amp;(Kalend!C23)&amp;" - "&amp;(Kalend!D23))</f>
        <v>6 - JÕHVI 16. MV - DUO</v>
      </c>
      <c r="F1" s="297" t="str">
        <f>HYPERLINK("#Kalend!I1","Kalender")</f>
        <v>Kalender</v>
      </c>
      <c r="G1" s="478"/>
      <c r="H1" s="297" t="str">
        <f>HYPERLINK("#Reit!G1","Reiting")</f>
        <v>Reiting</v>
      </c>
      <c r="I1" s="478"/>
      <c r="J1" s="478"/>
    </row>
    <row r="2" spans="1:14" x14ac:dyDescent="0.2">
      <c r="A2" s="9" t="str">
        <f>"Toimumisaeg: "&amp;(Kalend!A23)&amp;" kell "&amp;(Kalend!B23)</f>
        <v>Toimumisaeg: N, 07.07.2016 kell 18:00</v>
      </c>
    </row>
    <row r="3" spans="1:14" x14ac:dyDescent="0.2">
      <c r="A3" s="9" t="str">
        <f>"Toimumiskoht: "&amp;(Kalend!F23)</f>
        <v>Toimumiskoht: Jõhvi, Neptun</v>
      </c>
    </row>
    <row r="4" spans="1:14" x14ac:dyDescent="0.2">
      <c r="A4" s="9" t="str">
        <f>"Korraldaja: "&amp;(Kalend!G23)</f>
        <v>Korraldaja: LTK Üks-Teist, Tõnu Kapper</v>
      </c>
    </row>
    <row r="6" spans="1:14" x14ac:dyDescent="0.2">
      <c r="A6" s="679" t="s">
        <v>437</v>
      </c>
    </row>
    <row r="8" spans="1:14" s="478" customFormat="1" x14ac:dyDescent="0.2">
      <c r="A8" s="30" t="s">
        <v>271</v>
      </c>
      <c r="B8" s="30"/>
      <c r="C8" s="381" t="s">
        <v>272</v>
      </c>
      <c r="D8" s="381" t="s">
        <v>273</v>
      </c>
      <c r="E8" s="381" t="s">
        <v>274</v>
      </c>
      <c r="F8" s="381" t="s">
        <v>275</v>
      </c>
      <c r="G8" s="381" t="s">
        <v>86</v>
      </c>
      <c r="I8" s="8"/>
      <c r="J8" s="8"/>
      <c r="K8" s="384"/>
      <c r="L8" s="384"/>
      <c r="M8" s="384"/>
      <c r="N8" s="384"/>
    </row>
    <row r="9" spans="1:14" s="478" customFormat="1" x14ac:dyDescent="0.2">
      <c r="A9" s="30">
        <v>1</v>
      </c>
      <c r="B9" s="680" t="s">
        <v>308</v>
      </c>
      <c r="C9" s="382">
        <v>13</v>
      </c>
      <c r="D9" s="383">
        <v>8</v>
      </c>
      <c r="E9" s="382"/>
      <c r="F9" s="382"/>
      <c r="G9" s="683" t="s">
        <v>259</v>
      </c>
      <c r="I9" s="8"/>
      <c r="J9" s="424"/>
      <c r="K9" s="275"/>
      <c r="L9" s="275"/>
      <c r="M9" s="275"/>
      <c r="N9" s="276"/>
    </row>
    <row r="10" spans="1:14" s="478" customFormat="1" x14ac:dyDescent="0.2">
      <c r="A10" s="30">
        <v>2</v>
      </c>
      <c r="B10" s="680" t="s">
        <v>306</v>
      </c>
      <c r="C10" s="382">
        <v>6</v>
      </c>
      <c r="D10" s="382"/>
      <c r="E10" s="382">
        <v>13</v>
      </c>
      <c r="F10" s="382">
        <v>5</v>
      </c>
      <c r="G10" s="683" t="s">
        <v>260</v>
      </c>
      <c r="H10" s="688" t="s">
        <v>440</v>
      </c>
      <c r="I10" s="8"/>
      <c r="J10" s="26"/>
      <c r="K10" s="275"/>
      <c r="L10" s="275"/>
      <c r="M10" s="275"/>
      <c r="N10" s="276"/>
    </row>
    <row r="11" spans="1:14" s="478" customFormat="1" x14ac:dyDescent="0.2">
      <c r="A11" s="30">
        <v>3</v>
      </c>
      <c r="B11" s="680" t="s">
        <v>426</v>
      </c>
      <c r="C11" s="383">
        <v>11</v>
      </c>
      <c r="D11" s="382">
        <v>7</v>
      </c>
      <c r="E11" s="382"/>
      <c r="F11" s="382">
        <v>13</v>
      </c>
      <c r="G11" s="683" t="s">
        <v>146</v>
      </c>
      <c r="I11" s="8"/>
      <c r="J11" s="424"/>
      <c r="K11" s="275"/>
      <c r="L11" s="275"/>
      <c r="M11" s="275"/>
      <c r="N11" s="276"/>
    </row>
    <row r="12" spans="1:14" s="478" customFormat="1" x14ac:dyDescent="0.2">
      <c r="A12" s="30">
        <v>4</v>
      </c>
      <c r="B12" s="665"/>
      <c r="C12" s="382">
        <v>0</v>
      </c>
      <c r="D12" s="382"/>
      <c r="E12" s="382">
        <v>0</v>
      </c>
      <c r="F12" s="382"/>
      <c r="G12" s="617"/>
      <c r="I12" s="8"/>
      <c r="J12" s="26"/>
      <c r="K12" s="275"/>
      <c r="L12" s="275"/>
      <c r="M12" s="275"/>
      <c r="N12" s="276"/>
    </row>
    <row r="13" spans="1:14" s="478" customFormat="1" x14ac:dyDescent="0.2">
      <c r="A13" s="23"/>
      <c r="B13" s="8"/>
      <c r="C13" s="384"/>
      <c r="D13" s="384"/>
      <c r="E13" s="384"/>
      <c r="F13" s="275"/>
      <c r="G13" s="385"/>
      <c r="I13" s="8"/>
      <c r="J13" s="8"/>
      <c r="K13" s="384"/>
      <c r="L13" s="384"/>
      <c r="M13" s="275"/>
      <c r="N13" s="385"/>
    </row>
    <row r="14" spans="1:14" s="478" customFormat="1" x14ac:dyDescent="0.2">
      <c r="A14" s="30" t="s">
        <v>276</v>
      </c>
      <c r="B14" s="30"/>
      <c r="C14" s="381" t="s">
        <v>272</v>
      </c>
      <c r="D14" s="381" t="s">
        <v>273</v>
      </c>
      <c r="E14" s="381" t="s">
        <v>274</v>
      </c>
      <c r="F14" s="381" t="s">
        <v>275</v>
      </c>
      <c r="G14" s="381" t="s">
        <v>86</v>
      </c>
      <c r="I14" s="8"/>
      <c r="J14" s="8"/>
      <c r="K14" s="384"/>
      <c r="L14" s="384"/>
      <c r="M14" s="384"/>
      <c r="N14" s="384"/>
    </row>
    <row r="15" spans="1:14" s="478" customFormat="1" x14ac:dyDescent="0.2">
      <c r="A15" s="30">
        <v>1</v>
      </c>
      <c r="B15" s="680" t="s">
        <v>307</v>
      </c>
      <c r="C15" s="382">
        <v>13</v>
      </c>
      <c r="D15" s="382">
        <v>13</v>
      </c>
      <c r="E15" s="382"/>
      <c r="F15" s="382"/>
      <c r="G15" s="683" t="s">
        <v>259</v>
      </c>
      <c r="I15" s="8"/>
      <c r="J15" s="424"/>
      <c r="K15" s="275"/>
      <c r="L15" s="275"/>
      <c r="M15" s="275"/>
      <c r="N15" s="276"/>
    </row>
    <row r="16" spans="1:14" s="478" customFormat="1" x14ac:dyDescent="0.2">
      <c r="A16" s="30">
        <v>2</v>
      </c>
      <c r="B16" s="680" t="s">
        <v>439</v>
      </c>
      <c r="C16" s="382">
        <v>13</v>
      </c>
      <c r="D16" s="382">
        <v>4</v>
      </c>
      <c r="E16" s="382"/>
      <c r="F16" s="382">
        <v>11</v>
      </c>
      <c r="G16" s="683" t="s">
        <v>260</v>
      </c>
      <c r="I16" s="8"/>
      <c r="J16" s="424"/>
      <c r="K16" s="275"/>
      <c r="L16" s="275"/>
      <c r="M16" s="275"/>
      <c r="N16" s="276"/>
    </row>
    <row r="17" spans="1:14" s="478" customFormat="1" x14ac:dyDescent="0.2">
      <c r="A17" s="30">
        <v>3</v>
      </c>
      <c r="B17" s="680" t="s">
        <v>361</v>
      </c>
      <c r="C17" s="382">
        <v>11</v>
      </c>
      <c r="D17" s="382"/>
      <c r="E17" s="382">
        <v>13</v>
      </c>
      <c r="F17" s="382">
        <v>13</v>
      </c>
      <c r="G17" s="683" t="s">
        <v>146</v>
      </c>
      <c r="I17" s="8"/>
      <c r="J17" s="26"/>
      <c r="K17" s="275"/>
      <c r="L17" s="275"/>
      <c r="M17" s="275"/>
      <c r="N17" s="276"/>
    </row>
    <row r="18" spans="1:14" s="478" customFormat="1" x14ac:dyDescent="0.2">
      <c r="A18" s="30">
        <v>4</v>
      </c>
      <c r="B18" s="671"/>
      <c r="C18" s="382">
        <v>0</v>
      </c>
      <c r="D18" s="382"/>
      <c r="E18" s="382">
        <v>0</v>
      </c>
      <c r="F18" s="382"/>
      <c r="G18" s="617"/>
      <c r="I18" s="8"/>
      <c r="J18" s="26"/>
      <c r="K18" s="275"/>
      <c r="L18" s="275"/>
      <c r="M18" s="275"/>
      <c r="N18" s="276"/>
    </row>
    <row r="19" spans="1:14" s="478" customFormat="1" x14ac:dyDescent="0.2">
      <c r="A19" s="23"/>
      <c r="B19" s="8"/>
      <c r="C19" s="384"/>
      <c r="D19" s="384"/>
      <c r="E19" s="384"/>
      <c r="F19" s="275"/>
      <c r="G19" s="385"/>
      <c r="I19" s="8"/>
      <c r="J19" s="8"/>
      <c r="K19" s="8"/>
      <c r="L19" s="8"/>
      <c r="M19" s="8"/>
      <c r="N19" s="8"/>
    </row>
    <row r="20" spans="1:14" s="478" customFormat="1" x14ac:dyDescent="0.2">
      <c r="A20" s="30" t="s">
        <v>299</v>
      </c>
      <c r="B20" s="30"/>
      <c r="C20" s="381" t="s">
        <v>272</v>
      </c>
      <c r="D20" s="381" t="s">
        <v>273</v>
      </c>
      <c r="E20" s="381" t="s">
        <v>274</v>
      </c>
      <c r="F20" s="381" t="s">
        <v>275</v>
      </c>
      <c r="G20" s="381" t="s">
        <v>86</v>
      </c>
      <c r="I20" s="8"/>
      <c r="J20" s="8"/>
      <c r="K20" s="384"/>
      <c r="L20" s="384"/>
      <c r="M20" s="384"/>
      <c r="N20" s="384"/>
    </row>
    <row r="21" spans="1:14" s="478" customFormat="1" x14ac:dyDescent="0.2">
      <c r="A21" s="30">
        <v>1</v>
      </c>
      <c r="B21" s="680" t="s">
        <v>438</v>
      </c>
      <c r="C21" s="382">
        <v>13</v>
      </c>
      <c r="D21" s="382">
        <v>13</v>
      </c>
      <c r="E21" s="382"/>
      <c r="F21" s="382"/>
      <c r="G21" s="683" t="s">
        <v>259</v>
      </c>
      <c r="I21" s="8"/>
      <c r="J21" s="26"/>
      <c r="K21" s="275"/>
      <c r="L21" s="275"/>
      <c r="M21" s="275"/>
      <c r="N21" s="276"/>
    </row>
    <row r="22" spans="1:14" s="478" customFormat="1" x14ac:dyDescent="0.2">
      <c r="A22" s="30">
        <v>2</v>
      </c>
      <c r="B22" s="680" t="s">
        <v>301</v>
      </c>
      <c r="C22" s="382">
        <v>2</v>
      </c>
      <c r="D22" s="382"/>
      <c r="E22" s="382">
        <v>13</v>
      </c>
      <c r="F22" s="382">
        <v>11</v>
      </c>
      <c r="G22" s="683" t="s">
        <v>260</v>
      </c>
      <c r="I22" s="8"/>
      <c r="J22" s="424"/>
      <c r="K22" s="275"/>
      <c r="L22" s="275"/>
      <c r="M22" s="275"/>
      <c r="N22" s="276"/>
    </row>
    <row r="23" spans="1:14" s="478" customFormat="1" x14ac:dyDescent="0.2">
      <c r="A23" s="30">
        <v>3</v>
      </c>
      <c r="B23" s="680" t="s">
        <v>302</v>
      </c>
      <c r="C23" s="382">
        <v>13</v>
      </c>
      <c r="D23" s="382">
        <v>9</v>
      </c>
      <c r="E23" s="382"/>
      <c r="F23" s="382">
        <v>13</v>
      </c>
      <c r="G23" s="683" t="s">
        <v>146</v>
      </c>
      <c r="I23" s="8"/>
      <c r="J23" s="424"/>
      <c r="K23" s="275"/>
      <c r="L23" s="275"/>
      <c r="M23" s="275"/>
      <c r="N23" s="276"/>
    </row>
    <row r="24" spans="1:14" s="478" customFormat="1" x14ac:dyDescent="0.2">
      <c r="A24" s="30">
        <v>4</v>
      </c>
      <c r="B24" s="670"/>
      <c r="C24" s="382">
        <v>0</v>
      </c>
      <c r="D24" s="382"/>
      <c r="E24" s="382">
        <v>0</v>
      </c>
      <c r="F24" s="382"/>
      <c r="G24" s="617"/>
      <c r="I24" s="8"/>
      <c r="J24" s="26"/>
      <c r="K24" s="275"/>
      <c r="L24" s="275"/>
      <c r="M24" s="275"/>
      <c r="N24" s="276"/>
    </row>
    <row r="25" spans="1:14" s="478" customFormat="1" x14ac:dyDescent="0.2">
      <c r="I25" s="8"/>
      <c r="J25" s="8"/>
      <c r="K25" s="384"/>
      <c r="L25" s="384"/>
      <c r="M25" s="275"/>
      <c r="N25" s="385"/>
    </row>
    <row r="26" spans="1:14" s="460" customFormat="1" x14ac:dyDescent="0.2">
      <c r="A26" s="386" t="s">
        <v>303</v>
      </c>
    </row>
    <row r="27" spans="1:14" s="460" customFormat="1" x14ac:dyDescent="0.2">
      <c r="A27" s="386"/>
    </row>
    <row r="28" spans="1:14" s="460" customFormat="1" x14ac:dyDescent="0.2">
      <c r="A28" s="425" t="s">
        <v>249</v>
      </c>
      <c r="B28" s="460" t="s">
        <v>438</v>
      </c>
      <c r="C28" s="623">
        <v>13</v>
      </c>
    </row>
    <row r="29" spans="1:14" s="460" customFormat="1" x14ac:dyDescent="0.2">
      <c r="A29" s="427"/>
      <c r="B29" s="428"/>
      <c r="C29" s="429" t="s">
        <v>438</v>
      </c>
      <c r="D29" s="618"/>
      <c r="F29" s="623">
        <v>13</v>
      </c>
    </row>
    <row r="30" spans="1:14" s="460" customFormat="1" x14ac:dyDescent="0.2">
      <c r="A30" s="425"/>
      <c r="B30" s="684" t="s">
        <v>147</v>
      </c>
      <c r="C30" s="449">
        <v>0</v>
      </c>
      <c r="E30" s="434"/>
    </row>
    <row r="31" spans="1:14" s="460" customFormat="1" x14ac:dyDescent="0.2">
      <c r="A31" s="427"/>
      <c r="D31" s="435"/>
      <c r="E31" s="436"/>
      <c r="F31" s="460" t="s">
        <v>438</v>
      </c>
      <c r="I31" s="623">
        <v>13</v>
      </c>
    </row>
    <row r="32" spans="1:14" s="460" customFormat="1" x14ac:dyDescent="0.2">
      <c r="A32" s="425" t="s">
        <v>247</v>
      </c>
      <c r="B32" s="437" t="s">
        <v>308</v>
      </c>
      <c r="C32" s="622">
        <v>13</v>
      </c>
      <c r="E32" s="436"/>
      <c r="F32" s="428"/>
      <c r="G32" s="428"/>
      <c r="H32" s="434"/>
    </row>
    <row r="33" spans="1:11" s="460" customFormat="1" x14ac:dyDescent="0.2">
      <c r="A33" s="427"/>
      <c r="B33" s="428"/>
      <c r="C33" s="459" t="s">
        <v>308</v>
      </c>
      <c r="E33" s="440"/>
      <c r="F33" s="622">
        <v>1</v>
      </c>
      <c r="G33" s="435"/>
      <c r="H33" s="436"/>
    </row>
    <row r="34" spans="1:11" s="460" customFormat="1" x14ac:dyDescent="0.2">
      <c r="A34" s="425" t="s">
        <v>251</v>
      </c>
      <c r="B34" s="684" t="s">
        <v>361</v>
      </c>
      <c r="C34" s="442">
        <v>3</v>
      </c>
      <c r="D34" s="428"/>
      <c r="F34" s="435"/>
      <c r="G34" s="435"/>
      <c r="H34" s="436"/>
    </row>
    <row r="35" spans="1:11" s="460" customFormat="1" ht="13.5" thickBot="1" x14ac:dyDescent="0.25">
      <c r="A35" s="427"/>
      <c r="F35" s="435"/>
      <c r="G35" s="435"/>
      <c r="H35" s="436"/>
      <c r="J35" s="699" t="s">
        <v>438</v>
      </c>
    </row>
    <row r="36" spans="1:11" s="460" customFormat="1" x14ac:dyDescent="0.2">
      <c r="A36" s="425" t="s">
        <v>254</v>
      </c>
      <c r="B36" s="460" t="s">
        <v>302</v>
      </c>
      <c r="C36" s="623">
        <v>13</v>
      </c>
      <c r="F36" s="435"/>
      <c r="G36" s="435"/>
      <c r="H36" s="436"/>
      <c r="I36" s="443"/>
      <c r="J36" s="444" t="s">
        <v>148</v>
      </c>
      <c r="K36" s="445"/>
    </row>
    <row r="37" spans="1:11" s="460" customFormat="1" x14ac:dyDescent="0.2">
      <c r="A37" s="427"/>
      <c r="B37" s="428"/>
      <c r="C37" s="687" t="s">
        <v>302</v>
      </c>
      <c r="D37" s="618"/>
      <c r="F37" s="622">
        <v>4</v>
      </c>
      <c r="G37" s="435"/>
      <c r="H37" s="436"/>
    </row>
    <row r="38" spans="1:11" s="460" customFormat="1" ht="13.5" thickBot="1" x14ac:dyDescent="0.25">
      <c r="A38" s="425" t="s">
        <v>252</v>
      </c>
      <c r="B38" s="618" t="s">
        <v>426</v>
      </c>
      <c r="C38" s="449">
        <v>11</v>
      </c>
      <c r="E38" s="434"/>
      <c r="F38" s="435"/>
      <c r="G38" s="435"/>
      <c r="H38" s="436"/>
      <c r="J38" s="692" t="s">
        <v>307</v>
      </c>
      <c r="K38" s="446"/>
    </row>
    <row r="39" spans="1:11" s="460" customFormat="1" x14ac:dyDescent="0.2">
      <c r="A39" s="427"/>
      <c r="D39" s="435"/>
      <c r="E39" s="436"/>
      <c r="F39" s="618" t="s">
        <v>307</v>
      </c>
      <c r="G39" s="618"/>
      <c r="H39" s="440"/>
      <c r="I39" s="623">
        <v>7</v>
      </c>
      <c r="J39" s="444" t="s">
        <v>149</v>
      </c>
    </row>
    <row r="40" spans="1:11" s="460" customFormat="1" x14ac:dyDescent="0.2">
      <c r="A40" s="425" t="s">
        <v>246</v>
      </c>
      <c r="B40" s="460" t="s">
        <v>307</v>
      </c>
      <c r="C40" s="622">
        <v>13</v>
      </c>
      <c r="E40" s="436"/>
    </row>
    <row r="41" spans="1:11" s="460" customFormat="1" x14ac:dyDescent="0.2">
      <c r="A41" s="427"/>
      <c r="B41" s="428"/>
      <c r="C41" s="459" t="s">
        <v>307</v>
      </c>
      <c r="E41" s="440"/>
      <c r="F41" s="623">
        <v>13</v>
      </c>
    </row>
    <row r="42" spans="1:11" s="460" customFormat="1" x14ac:dyDescent="0.2">
      <c r="A42" s="425"/>
      <c r="B42" s="685" t="s">
        <v>147</v>
      </c>
      <c r="C42" s="442">
        <v>0</v>
      </c>
      <c r="D42" s="428"/>
    </row>
    <row r="43" spans="1:11" s="460" customFormat="1" x14ac:dyDescent="0.2">
      <c r="F43" s="460" t="s">
        <v>308</v>
      </c>
      <c r="I43" s="622">
        <v>13</v>
      </c>
      <c r="J43" s="435"/>
      <c r="K43" s="435"/>
    </row>
    <row r="44" spans="1:11" s="460" customFormat="1" ht="13.5" thickBot="1" x14ac:dyDescent="0.25">
      <c r="F44" s="428"/>
      <c r="G44" s="428"/>
      <c r="H44" s="434"/>
      <c r="I44" s="446"/>
      <c r="J44" s="692" t="s">
        <v>308</v>
      </c>
      <c r="K44" s="446"/>
    </row>
    <row r="45" spans="1:11" s="460" customFormat="1" x14ac:dyDescent="0.2">
      <c r="F45" s="618" t="s">
        <v>302</v>
      </c>
      <c r="G45" s="618"/>
      <c r="H45" s="440"/>
      <c r="I45" s="623">
        <v>7</v>
      </c>
      <c r="J45" s="447" t="s">
        <v>150</v>
      </c>
      <c r="K45" s="435"/>
    </row>
    <row r="46" spans="1:11" s="460" customFormat="1" x14ac:dyDescent="0.2">
      <c r="J46" s="435"/>
      <c r="K46" s="435"/>
    </row>
    <row r="47" spans="1:11" s="460" customFormat="1" ht="13.5" thickBot="1" x14ac:dyDescent="0.25">
      <c r="G47" s="435"/>
      <c r="H47" s="435"/>
      <c r="J47" s="446" t="s">
        <v>302</v>
      </c>
      <c r="K47" s="446"/>
    </row>
    <row r="48" spans="1:11" s="460" customFormat="1" x14ac:dyDescent="0.2">
      <c r="C48" s="686" t="s">
        <v>147</v>
      </c>
      <c r="F48" s="623">
        <v>0</v>
      </c>
      <c r="J48" s="448" t="s">
        <v>151</v>
      </c>
    </row>
    <row r="49" spans="1:11" s="460" customFormat="1" x14ac:dyDescent="0.2">
      <c r="C49" s="428"/>
      <c r="D49" s="428"/>
      <c r="E49" s="434"/>
      <c r="F49" s="429"/>
      <c r="G49" s="618"/>
      <c r="H49" s="618"/>
      <c r="I49" s="623">
        <v>13</v>
      </c>
    </row>
    <row r="50" spans="1:11" s="460" customFormat="1" x14ac:dyDescent="0.2">
      <c r="C50" s="618" t="s">
        <v>361</v>
      </c>
      <c r="D50" s="618"/>
      <c r="E50" s="440"/>
      <c r="F50" s="449">
        <v>13</v>
      </c>
      <c r="H50" s="436"/>
    </row>
    <row r="51" spans="1:11" s="460" customFormat="1" ht="13.5" thickBot="1" x14ac:dyDescent="0.25">
      <c r="F51" s="435"/>
      <c r="H51" s="436"/>
      <c r="J51" s="460" t="s">
        <v>361</v>
      </c>
    </row>
    <row r="52" spans="1:11" s="460" customFormat="1" x14ac:dyDescent="0.2">
      <c r="C52" s="460" t="s">
        <v>426</v>
      </c>
      <c r="F52" s="622">
        <v>13</v>
      </c>
      <c r="H52" s="436"/>
      <c r="I52" s="443"/>
      <c r="J52" s="444" t="s">
        <v>152</v>
      </c>
      <c r="K52" s="445"/>
    </row>
    <row r="53" spans="1:11" s="460" customFormat="1" x14ac:dyDescent="0.2">
      <c r="C53" s="428"/>
      <c r="D53" s="428"/>
      <c r="E53" s="434"/>
      <c r="F53" s="459" t="s">
        <v>426</v>
      </c>
      <c r="H53" s="440"/>
      <c r="I53" s="622">
        <v>5</v>
      </c>
    </row>
    <row r="54" spans="1:11" s="460" customFormat="1" ht="13.5" thickBot="1" x14ac:dyDescent="0.25">
      <c r="C54" s="685" t="s">
        <v>147</v>
      </c>
      <c r="D54" s="618"/>
      <c r="E54" s="440"/>
      <c r="F54" s="442">
        <v>0</v>
      </c>
      <c r="G54" s="428"/>
      <c r="I54" s="435"/>
      <c r="J54" s="435" t="s">
        <v>426</v>
      </c>
      <c r="K54" s="446"/>
    </row>
    <row r="55" spans="1:11" s="460" customFormat="1" x14ac:dyDescent="0.2">
      <c r="I55" s="435"/>
      <c r="J55" s="444" t="s">
        <v>153</v>
      </c>
      <c r="K55" s="435"/>
    </row>
    <row r="56" spans="1:11" s="478" customFormat="1" x14ac:dyDescent="0.2"/>
    <row r="57" spans="1:11" s="460" customFormat="1" x14ac:dyDescent="0.2">
      <c r="A57" s="386" t="s">
        <v>304</v>
      </c>
    </row>
    <row r="58" spans="1:11" s="460" customFormat="1" x14ac:dyDescent="0.2">
      <c r="A58" s="386"/>
    </row>
    <row r="59" spans="1:11" x14ac:dyDescent="0.2">
      <c r="E59" s="389" t="s">
        <v>264</v>
      </c>
      <c r="F59" s="460" t="s">
        <v>439</v>
      </c>
      <c r="G59" s="460"/>
      <c r="H59" s="460"/>
      <c r="I59" s="622">
        <v>11</v>
      </c>
      <c r="J59" s="435"/>
      <c r="K59" s="435"/>
    </row>
    <row r="60" spans="1:11" ht="13.5" thickBot="1" x14ac:dyDescent="0.25">
      <c r="F60" s="428"/>
      <c r="G60" s="428"/>
      <c r="H60" s="434"/>
      <c r="I60" s="446"/>
      <c r="J60" s="446" t="s">
        <v>301</v>
      </c>
      <c r="K60" s="446"/>
    </row>
    <row r="61" spans="1:11" x14ac:dyDescent="0.2">
      <c r="E61" s="389" t="s">
        <v>267</v>
      </c>
      <c r="F61" s="618" t="s">
        <v>301</v>
      </c>
      <c r="G61" s="618"/>
      <c r="H61" s="440"/>
      <c r="I61" s="623">
        <v>13</v>
      </c>
      <c r="J61" s="398" t="s">
        <v>154</v>
      </c>
      <c r="K61" s="435"/>
    </row>
    <row r="62" spans="1:11" x14ac:dyDescent="0.2">
      <c r="F62" s="460"/>
      <c r="G62" s="460"/>
      <c r="H62" s="460"/>
      <c r="I62" s="460"/>
      <c r="J62" s="478"/>
      <c r="K62" s="435"/>
    </row>
    <row r="63" spans="1:11" ht="13.5" thickBot="1" x14ac:dyDescent="0.25">
      <c r="F63" s="460"/>
      <c r="G63" s="435"/>
      <c r="H63" s="435"/>
      <c r="I63" s="460"/>
      <c r="J63" s="8" t="s">
        <v>439</v>
      </c>
      <c r="K63" s="446"/>
    </row>
    <row r="64" spans="1:11" x14ac:dyDescent="0.2">
      <c r="F64" s="460"/>
      <c r="G64" s="435"/>
      <c r="H64" s="435"/>
      <c r="I64" s="460"/>
      <c r="J64" s="398" t="s">
        <v>155</v>
      </c>
      <c r="K64" s="460"/>
    </row>
    <row r="65" spans="1:11" x14ac:dyDescent="0.2">
      <c r="F65" s="435"/>
      <c r="G65" s="435"/>
      <c r="H65" s="435"/>
      <c r="I65" s="622"/>
      <c r="J65" s="435"/>
      <c r="K65" s="435"/>
    </row>
    <row r="66" spans="1:11" ht="13.5" thickBot="1" x14ac:dyDescent="0.25">
      <c r="F66" s="435"/>
      <c r="G66" s="435"/>
      <c r="H66" s="435"/>
      <c r="I66" s="435"/>
      <c r="J66" s="446" t="s">
        <v>306</v>
      </c>
      <c r="K66" s="446"/>
    </row>
    <row r="67" spans="1:11" x14ac:dyDescent="0.2">
      <c r="F67" s="435"/>
      <c r="G67" s="435"/>
      <c r="H67" s="435"/>
      <c r="I67" s="622"/>
      <c r="J67" s="447" t="s">
        <v>156</v>
      </c>
      <c r="K67" s="435"/>
    </row>
    <row r="68" spans="1:11" x14ac:dyDescent="0.2">
      <c r="F68" s="435"/>
      <c r="G68" s="435"/>
      <c r="H68" s="435"/>
      <c r="I68" s="435"/>
      <c r="J68" s="435"/>
      <c r="K68" s="435"/>
    </row>
    <row r="69" spans="1:11" x14ac:dyDescent="0.2">
      <c r="A69" s="272">
        <v>1</v>
      </c>
      <c r="B69" s="681" t="s">
        <v>438</v>
      </c>
    </row>
    <row r="70" spans="1:11" x14ac:dyDescent="0.2">
      <c r="A70" s="272">
        <v>2</v>
      </c>
      <c r="B70" s="682" t="s">
        <v>307</v>
      </c>
    </row>
    <row r="71" spans="1:11" x14ac:dyDescent="0.2">
      <c r="A71" s="272">
        <v>3</v>
      </c>
      <c r="B71" s="44" t="s">
        <v>308</v>
      </c>
    </row>
    <row r="72" spans="1:11" x14ac:dyDescent="0.2">
      <c r="A72" s="272">
        <v>4</v>
      </c>
      <c r="B72" s="43" t="s">
        <v>302</v>
      </c>
    </row>
    <row r="73" spans="1:11" x14ac:dyDescent="0.2">
      <c r="A73" s="272">
        <v>5</v>
      </c>
      <c r="B73" s="43" t="s">
        <v>361</v>
      </c>
    </row>
    <row r="74" spans="1:11" x14ac:dyDescent="0.2">
      <c r="A74" s="272">
        <v>6</v>
      </c>
      <c r="B74" s="43" t="s">
        <v>426</v>
      </c>
    </row>
    <row r="75" spans="1:11" x14ac:dyDescent="0.2">
      <c r="A75" s="272">
        <v>7</v>
      </c>
      <c r="B75" s="43" t="s">
        <v>301</v>
      </c>
    </row>
    <row r="76" spans="1:11" x14ac:dyDescent="0.2">
      <c r="A76" s="272">
        <v>8</v>
      </c>
      <c r="B76" s="546" t="s">
        <v>439</v>
      </c>
    </row>
    <row r="77" spans="1:11" x14ac:dyDescent="0.2">
      <c r="A77" s="272">
        <v>9</v>
      </c>
      <c r="B77" s="670" t="s">
        <v>306</v>
      </c>
    </row>
  </sheetData>
  <conditionalFormatting sqref="C9:G24">
    <cfRule type="cellIs" dxfId="112" priority="5" stopIfTrue="1" operator="equal">
      <formula>13</formula>
    </cfRule>
  </conditionalFormatting>
  <conditionalFormatting sqref="C28:I55">
    <cfRule type="cellIs" dxfId="111" priority="4" stopIfTrue="1" operator="equal">
      <formula>13</formula>
    </cfRule>
  </conditionalFormatting>
  <conditionalFormatting sqref="F65:I68">
    <cfRule type="cellIs" dxfId="110" priority="2" stopIfTrue="1" operator="equal">
      <formula>13</formula>
    </cfRule>
  </conditionalFormatting>
  <conditionalFormatting sqref="F59:I64">
    <cfRule type="cellIs" dxfId="109" priority="1" stopIfTrue="1" operator="equal">
      <formula>13</formula>
    </cfRule>
  </conditionalFormatting>
  <pageMargins left="0.78740157480314965" right="0.39370078740157483" top="0.59055118110236227" bottom="0.39370078740157483" header="0.39370078740157483" footer="0"/>
  <pageSetup paperSize="9" fitToHeight="0" orientation="landscape" verticalDpi="180" r:id="rId1"/>
  <headerFooter>
    <oddHeader>&amp;R&amp;"Arial,Regular"&amp;9Page &amp;P of &amp;N</oddHeader>
  </headerFooter>
  <rowBreaks count="2" manualBreakCount="2">
    <brk id="24" max="16383" man="1"/>
    <brk id="5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8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ColWidth="9.42578125" defaultRowHeight="12.75" x14ac:dyDescent="0.2"/>
  <cols>
    <col min="1" max="1" width="3.28515625" style="12" customWidth="1"/>
    <col min="2" max="2" width="46.28515625" style="12" bestFit="1" customWidth="1"/>
    <col min="3" max="3" width="7.28515625" style="12" bestFit="1" customWidth="1"/>
    <col min="4" max="4" width="7.42578125" style="12" bestFit="1" customWidth="1"/>
    <col min="5" max="5" width="9.140625" style="12" bestFit="1" customWidth="1"/>
    <col min="6" max="6" width="6.7109375" style="12" bestFit="1" customWidth="1"/>
    <col min="7" max="7" width="5.140625" style="12" bestFit="1" customWidth="1"/>
    <col min="8" max="240" width="9.140625" style="12" customWidth="1"/>
    <col min="241" max="16384" width="9.42578125" style="12"/>
  </cols>
  <sheetData>
    <row r="1" spans="1:9" x14ac:dyDescent="0.2">
      <c r="A1" s="11" t="str">
        <f>UPPER((Kalend!E25)&amp;" - "&amp;(Kalend!C25)&amp;" - "&amp;(Kalend!D25))</f>
        <v>7 - JÕHVI 14. MV - TRIO</v>
      </c>
      <c r="E1" s="297" t="str">
        <f>HYPERLINK("#Kalend!I1","Kalender")</f>
        <v>Kalender</v>
      </c>
      <c r="F1" s="478"/>
      <c r="G1" s="297" t="str">
        <f>HYPERLINK("#Reit!G1","Reiting")</f>
        <v>Reiting</v>
      </c>
      <c r="H1" s="478"/>
      <c r="I1" s="478"/>
    </row>
    <row r="2" spans="1:9" x14ac:dyDescent="0.2">
      <c r="A2" s="9" t="str">
        <f>"Toimumisaeg: "&amp;(Kalend!A25)&amp;" kell "&amp;(Kalend!B25)</f>
        <v>Toimumisaeg: N, 21.07.2016 kell 18:00</v>
      </c>
    </row>
    <row r="3" spans="1:9" x14ac:dyDescent="0.2">
      <c r="A3" s="9" t="str">
        <f>"Toimumiskoht: "&amp;(Kalend!F25)</f>
        <v>Toimumiskoht: Jõhvi, Neptun</v>
      </c>
    </row>
    <row r="4" spans="1:9" x14ac:dyDescent="0.2">
      <c r="A4" s="9" t="str">
        <f>"Korraldaja: "&amp;(Kalend!G25)</f>
        <v>Korraldaja: LTK Üks-Teist, Tõnu Kapper</v>
      </c>
    </row>
    <row r="5" spans="1:9" x14ac:dyDescent="0.2">
      <c r="A5" s="478"/>
    </row>
    <row r="6" spans="1:9" s="478" customFormat="1" x14ac:dyDescent="0.2">
      <c r="A6" s="534" t="s">
        <v>446</v>
      </c>
      <c r="B6" s="104"/>
    </row>
    <row r="7" spans="1:9" s="478" customFormat="1" x14ac:dyDescent="0.2"/>
    <row r="8" spans="1:9" s="478" customFormat="1" x14ac:dyDescent="0.2">
      <c r="A8" s="30" t="s">
        <v>271</v>
      </c>
      <c r="B8" s="30"/>
      <c r="C8" s="381" t="s">
        <v>272</v>
      </c>
      <c r="D8" s="381" t="s">
        <v>273</v>
      </c>
      <c r="E8" s="381" t="s">
        <v>274</v>
      </c>
      <c r="F8" s="381" t="s">
        <v>275</v>
      </c>
      <c r="G8" s="381" t="s">
        <v>86</v>
      </c>
    </row>
    <row r="9" spans="1:9" s="478" customFormat="1" x14ac:dyDescent="0.2">
      <c r="A9" s="30">
        <v>1</v>
      </c>
      <c r="B9" s="693"/>
      <c r="C9" s="382">
        <v>13</v>
      </c>
      <c r="D9" s="382"/>
      <c r="E9" s="382"/>
      <c r="F9" s="382"/>
      <c r="G9" s="683"/>
    </row>
    <row r="10" spans="1:9" s="478" customFormat="1" x14ac:dyDescent="0.2">
      <c r="A10" s="30">
        <v>2</v>
      </c>
      <c r="B10" s="693"/>
      <c r="C10" s="382"/>
      <c r="D10" s="382"/>
      <c r="E10" s="382"/>
      <c r="F10" s="382"/>
      <c r="G10" s="683"/>
    </row>
    <row r="11" spans="1:9" s="478" customFormat="1" x14ac:dyDescent="0.2">
      <c r="A11" s="30">
        <v>3</v>
      </c>
      <c r="B11" s="693"/>
      <c r="C11" s="383"/>
      <c r="D11" s="382"/>
      <c r="E11" s="382"/>
      <c r="F11" s="382"/>
      <c r="G11" s="683"/>
    </row>
    <row r="12" spans="1:9" s="478" customFormat="1" x14ac:dyDescent="0.2">
      <c r="A12" s="30">
        <v>4</v>
      </c>
      <c r="B12" s="665"/>
      <c r="C12" s="382">
        <v>0</v>
      </c>
      <c r="D12" s="382"/>
      <c r="E12" s="382">
        <v>0</v>
      </c>
      <c r="F12" s="382"/>
      <c r="G12" s="683"/>
    </row>
    <row r="13" spans="1:9" s="478" customFormat="1" x14ac:dyDescent="0.2">
      <c r="A13" s="23"/>
      <c r="B13" s="8"/>
      <c r="C13" s="384"/>
      <c r="D13" s="384"/>
      <c r="E13" s="384"/>
      <c r="F13" s="275"/>
      <c r="G13" s="385"/>
    </row>
    <row r="14" spans="1:9" s="478" customFormat="1" x14ac:dyDescent="0.2">
      <c r="A14" s="30" t="s">
        <v>276</v>
      </c>
      <c r="B14" s="30"/>
      <c r="C14" s="381" t="s">
        <v>272</v>
      </c>
      <c r="D14" s="381" t="s">
        <v>273</v>
      </c>
      <c r="E14" s="381" t="s">
        <v>274</v>
      </c>
      <c r="F14" s="381" t="s">
        <v>275</v>
      </c>
      <c r="G14" s="381" t="s">
        <v>86</v>
      </c>
    </row>
    <row r="15" spans="1:9" s="478" customFormat="1" x14ac:dyDescent="0.2">
      <c r="A15" s="30">
        <v>1</v>
      </c>
      <c r="B15" s="693"/>
      <c r="C15" s="382">
        <v>13</v>
      </c>
      <c r="D15" s="382"/>
      <c r="E15" s="382"/>
      <c r="F15" s="382"/>
      <c r="G15" s="683"/>
    </row>
    <row r="16" spans="1:9" s="478" customFormat="1" x14ac:dyDescent="0.2">
      <c r="A16" s="30">
        <v>2</v>
      </c>
      <c r="B16" s="693"/>
      <c r="C16" s="383"/>
      <c r="D16" s="382"/>
      <c r="E16" s="382"/>
      <c r="F16" s="383"/>
      <c r="G16" s="683"/>
    </row>
    <row r="17" spans="1:11" s="478" customFormat="1" x14ac:dyDescent="0.2">
      <c r="A17" s="30">
        <v>3</v>
      </c>
      <c r="B17" s="680"/>
      <c r="C17" s="382"/>
      <c r="D17" s="382"/>
      <c r="E17" s="382"/>
      <c r="F17" s="382"/>
      <c r="G17" s="683"/>
    </row>
    <row r="18" spans="1:11" s="478" customFormat="1" x14ac:dyDescent="0.2">
      <c r="A18" s="30">
        <v>4</v>
      </c>
      <c r="B18" s="671"/>
      <c r="C18" s="382">
        <v>0</v>
      </c>
      <c r="D18" s="382"/>
      <c r="E18" s="382"/>
      <c r="F18" s="382"/>
      <c r="G18" s="683"/>
    </row>
    <row r="19" spans="1:11" s="478" customFormat="1" x14ac:dyDescent="0.2">
      <c r="A19" s="23"/>
      <c r="B19" s="8"/>
      <c r="C19" s="384"/>
      <c r="D19" s="384"/>
      <c r="E19" s="384"/>
      <c r="F19" s="275"/>
      <c r="G19" s="385"/>
    </row>
    <row r="20" spans="1:11" s="478" customFormat="1" x14ac:dyDescent="0.2">
      <c r="A20" s="30" t="s">
        <v>299</v>
      </c>
      <c r="B20" s="30"/>
      <c r="C20" s="381" t="s">
        <v>272</v>
      </c>
      <c r="D20" s="381" t="s">
        <v>273</v>
      </c>
      <c r="E20" s="381" t="s">
        <v>274</v>
      </c>
      <c r="F20" s="381" t="s">
        <v>275</v>
      </c>
      <c r="G20" s="381" t="s">
        <v>86</v>
      </c>
    </row>
    <row r="21" spans="1:11" s="478" customFormat="1" x14ac:dyDescent="0.2">
      <c r="A21" s="30">
        <v>1</v>
      </c>
      <c r="B21" s="693"/>
      <c r="C21" s="382">
        <v>13</v>
      </c>
      <c r="D21" s="382"/>
      <c r="E21" s="382"/>
      <c r="F21" s="382"/>
      <c r="G21" s="683"/>
    </row>
    <row r="22" spans="1:11" s="478" customFormat="1" x14ac:dyDescent="0.2">
      <c r="A22" s="30">
        <v>2</v>
      </c>
      <c r="B22" s="693"/>
      <c r="C22" s="382"/>
      <c r="D22" s="382"/>
      <c r="E22" s="382"/>
      <c r="F22" s="382"/>
      <c r="G22" s="683"/>
    </row>
    <row r="23" spans="1:11" s="478" customFormat="1" x14ac:dyDescent="0.2">
      <c r="A23" s="30">
        <v>3</v>
      </c>
      <c r="B23" s="693"/>
      <c r="C23" s="382"/>
      <c r="D23" s="382"/>
      <c r="E23" s="382"/>
      <c r="F23" s="382"/>
      <c r="G23" s="683"/>
    </row>
    <row r="24" spans="1:11" s="478" customFormat="1" x14ac:dyDescent="0.2">
      <c r="A24" s="30">
        <v>4</v>
      </c>
      <c r="B24" s="680"/>
      <c r="C24" s="382">
        <v>0</v>
      </c>
      <c r="D24" s="382"/>
      <c r="E24" s="382"/>
      <c r="F24" s="382"/>
      <c r="G24" s="683"/>
    </row>
    <row r="25" spans="1:11" s="478" customFormat="1" x14ac:dyDescent="0.2">
      <c r="A25" s="23"/>
      <c r="B25" s="424"/>
      <c r="C25" s="275"/>
      <c r="D25" s="275"/>
      <c r="E25" s="275"/>
      <c r="F25" s="275"/>
      <c r="G25" s="276"/>
    </row>
    <row r="26" spans="1:11" s="478" customFormat="1" x14ac:dyDescent="0.2">
      <c r="A26" s="386" t="s">
        <v>303</v>
      </c>
      <c r="B26" s="691"/>
      <c r="C26" s="691"/>
      <c r="D26" s="691"/>
      <c r="E26" s="691"/>
      <c r="F26" s="691"/>
      <c r="G26" s="691"/>
      <c r="H26" s="691"/>
      <c r="I26" s="691"/>
      <c r="J26" s="691"/>
      <c r="K26" s="691"/>
    </row>
    <row r="27" spans="1:11" s="478" customFormat="1" x14ac:dyDescent="0.2">
      <c r="A27" s="386"/>
      <c r="B27" s="691"/>
      <c r="C27" s="691"/>
      <c r="D27" s="691"/>
      <c r="E27" s="691"/>
      <c r="F27" s="691"/>
      <c r="G27" s="691"/>
      <c r="H27" s="691"/>
      <c r="I27" s="691"/>
      <c r="J27" s="691"/>
      <c r="K27" s="691"/>
    </row>
    <row r="28" spans="1:11" s="478" customFormat="1" x14ac:dyDescent="0.2">
      <c r="A28" s="425"/>
      <c r="B28" s="691"/>
      <c r="C28" s="623"/>
      <c r="D28" s="691"/>
      <c r="E28" s="691"/>
      <c r="F28" s="691"/>
      <c r="G28" s="691"/>
      <c r="H28" s="691"/>
      <c r="I28" s="691"/>
      <c r="J28" s="691"/>
      <c r="K28" s="691"/>
    </row>
    <row r="29" spans="1:11" s="478" customFormat="1" x14ac:dyDescent="0.2">
      <c r="A29" s="427"/>
      <c r="B29" s="428"/>
      <c r="C29" s="687"/>
      <c r="D29" s="685"/>
      <c r="E29" s="691"/>
      <c r="F29" s="623"/>
      <c r="G29" s="691"/>
      <c r="H29" s="691"/>
      <c r="I29" s="691"/>
      <c r="J29" s="691"/>
      <c r="K29" s="691"/>
    </row>
    <row r="30" spans="1:11" s="478" customFormat="1" x14ac:dyDescent="0.2">
      <c r="A30" s="425"/>
      <c r="B30" s="684"/>
      <c r="C30" s="433"/>
      <c r="D30" s="691"/>
      <c r="E30" s="434"/>
      <c r="F30" s="691"/>
      <c r="G30" s="691"/>
      <c r="H30" s="691"/>
      <c r="I30" s="691"/>
      <c r="J30" s="691"/>
      <c r="K30" s="691"/>
    </row>
    <row r="31" spans="1:11" s="478" customFormat="1" x14ac:dyDescent="0.2">
      <c r="A31" s="427"/>
      <c r="B31" s="691"/>
      <c r="C31" s="691"/>
      <c r="D31" s="435"/>
      <c r="E31" s="436"/>
      <c r="F31" s="691"/>
      <c r="G31" s="691"/>
      <c r="H31" s="691"/>
      <c r="I31" s="623"/>
      <c r="J31" s="691"/>
      <c r="K31" s="691"/>
    </row>
    <row r="32" spans="1:11" s="478" customFormat="1" x14ac:dyDescent="0.2">
      <c r="A32" s="425"/>
      <c r="B32" s="437"/>
      <c r="C32" s="622"/>
      <c r="D32" s="691"/>
      <c r="E32" s="436"/>
      <c r="F32" s="428"/>
      <c r="G32" s="428"/>
      <c r="H32" s="434"/>
      <c r="I32" s="691"/>
      <c r="J32" s="691"/>
      <c r="K32" s="691"/>
    </row>
    <row r="33" spans="1:11" s="478" customFormat="1" x14ac:dyDescent="0.2">
      <c r="A33" s="427"/>
      <c r="B33" s="428"/>
      <c r="C33" s="459"/>
      <c r="D33" s="691"/>
      <c r="E33" s="440"/>
      <c r="F33" s="622"/>
      <c r="G33" s="435"/>
      <c r="H33" s="436"/>
      <c r="I33" s="691"/>
      <c r="J33" s="691"/>
      <c r="K33" s="691"/>
    </row>
    <row r="34" spans="1:11" s="478" customFormat="1" x14ac:dyDescent="0.2">
      <c r="A34" s="425"/>
      <c r="B34" s="684"/>
      <c r="C34" s="442"/>
      <c r="D34" s="428"/>
      <c r="E34" s="691"/>
      <c r="F34" s="435"/>
      <c r="G34" s="435"/>
      <c r="H34" s="436"/>
      <c r="I34" s="691"/>
      <c r="J34" s="691"/>
      <c r="K34" s="691"/>
    </row>
    <row r="35" spans="1:11" s="478" customFormat="1" ht="13.5" thickBot="1" x14ac:dyDescent="0.25">
      <c r="A35" s="427"/>
      <c r="B35" s="691"/>
      <c r="C35" s="691"/>
      <c r="D35" s="691"/>
      <c r="E35" s="691"/>
      <c r="F35" s="435"/>
      <c r="G35" s="435"/>
      <c r="H35" s="436"/>
      <c r="I35" s="691"/>
      <c r="J35" s="699" t="s">
        <v>398</v>
      </c>
      <c r="K35" s="691"/>
    </row>
    <row r="36" spans="1:11" s="478" customFormat="1" x14ac:dyDescent="0.2">
      <c r="A36" s="425"/>
      <c r="B36" s="691"/>
      <c r="C36" s="623"/>
      <c r="D36" s="691"/>
      <c r="E36" s="691"/>
      <c r="F36" s="435"/>
      <c r="G36" s="435"/>
      <c r="H36" s="436"/>
      <c r="I36" s="443"/>
      <c r="J36" s="444" t="s">
        <v>148</v>
      </c>
      <c r="K36" s="445"/>
    </row>
    <row r="37" spans="1:11" s="478" customFormat="1" x14ac:dyDescent="0.2">
      <c r="A37" s="427"/>
      <c r="B37" s="428"/>
      <c r="C37" s="687"/>
      <c r="D37" s="685"/>
      <c r="E37" s="691"/>
      <c r="F37" s="622"/>
      <c r="G37" s="435"/>
      <c r="H37" s="436"/>
      <c r="I37" s="691"/>
      <c r="J37" s="691"/>
      <c r="K37" s="691"/>
    </row>
    <row r="38" spans="1:11" s="478" customFormat="1" ht="13.5" thickBot="1" x14ac:dyDescent="0.25">
      <c r="A38" s="425"/>
      <c r="B38" s="685"/>
      <c r="C38" s="433"/>
      <c r="D38" s="691"/>
      <c r="E38" s="434"/>
      <c r="F38" s="435"/>
      <c r="G38" s="435"/>
      <c r="H38" s="436"/>
      <c r="I38" s="691"/>
      <c r="J38" s="700" t="s">
        <v>294</v>
      </c>
      <c r="K38" s="692"/>
    </row>
    <row r="39" spans="1:11" s="478" customFormat="1" x14ac:dyDescent="0.2">
      <c r="A39" s="427"/>
      <c r="B39" s="691"/>
      <c r="C39" s="691"/>
      <c r="D39" s="435"/>
      <c r="E39" s="436"/>
      <c r="F39" s="685"/>
      <c r="G39" s="685"/>
      <c r="H39" s="440"/>
      <c r="I39" s="623"/>
      <c r="J39" s="444" t="s">
        <v>149</v>
      </c>
      <c r="K39" s="691"/>
    </row>
    <row r="40" spans="1:11" s="478" customFormat="1" x14ac:dyDescent="0.2">
      <c r="A40" s="425"/>
      <c r="B40" s="691"/>
      <c r="C40" s="622"/>
      <c r="D40" s="691"/>
      <c r="E40" s="436"/>
      <c r="F40" s="691"/>
      <c r="G40" s="691"/>
      <c r="H40" s="691"/>
      <c r="I40" s="691"/>
      <c r="J40" s="691"/>
      <c r="K40" s="691"/>
    </row>
    <row r="41" spans="1:11" s="478" customFormat="1" x14ac:dyDescent="0.2">
      <c r="A41" s="427"/>
      <c r="B41" s="428"/>
      <c r="C41" s="459"/>
      <c r="D41" s="691"/>
      <c r="E41" s="440"/>
      <c r="F41" s="623"/>
      <c r="G41" s="691"/>
      <c r="H41" s="691"/>
      <c r="I41" s="691"/>
      <c r="J41" s="691"/>
      <c r="K41" s="691"/>
    </row>
    <row r="42" spans="1:11" s="478" customFormat="1" x14ac:dyDescent="0.2">
      <c r="A42" s="425"/>
      <c r="B42" s="685"/>
      <c r="C42" s="442"/>
      <c r="D42" s="428"/>
      <c r="E42" s="691"/>
      <c r="F42" s="691"/>
      <c r="G42" s="691"/>
      <c r="H42" s="691"/>
      <c r="I42" s="691"/>
      <c r="J42" s="691"/>
      <c r="K42" s="691"/>
    </row>
    <row r="43" spans="1:11" s="478" customFormat="1" x14ac:dyDescent="0.2">
      <c r="A43" s="691"/>
      <c r="B43" s="691"/>
      <c r="C43" s="691"/>
      <c r="D43" s="691"/>
      <c r="E43" s="691"/>
      <c r="F43" s="691"/>
      <c r="G43" s="691"/>
      <c r="H43" s="691"/>
      <c r="I43" s="622"/>
      <c r="J43" s="435"/>
      <c r="K43" s="435"/>
    </row>
    <row r="44" spans="1:11" s="478" customFormat="1" ht="13.5" thickBot="1" x14ac:dyDescent="0.25">
      <c r="A44" s="691"/>
      <c r="B44" s="691"/>
      <c r="C44" s="691"/>
      <c r="D44" s="691"/>
      <c r="E44" s="691"/>
      <c r="F44" s="428"/>
      <c r="G44" s="428"/>
      <c r="H44" s="434"/>
      <c r="I44" s="692"/>
      <c r="J44" s="700" t="s">
        <v>442</v>
      </c>
      <c r="K44" s="692"/>
    </row>
    <row r="45" spans="1:11" s="478" customFormat="1" x14ac:dyDescent="0.2">
      <c r="A45" s="691"/>
      <c r="B45" s="691"/>
      <c r="C45" s="691"/>
      <c r="D45" s="691"/>
      <c r="E45" s="691"/>
      <c r="F45" s="685"/>
      <c r="G45" s="685"/>
      <c r="H45" s="440"/>
      <c r="I45" s="623"/>
      <c r="J45" s="447" t="s">
        <v>150</v>
      </c>
      <c r="K45" s="435"/>
    </row>
    <row r="46" spans="1:11" s="478" customFormat="1" x14ac:dyDescent="0.2">
      <c r="A46" s="691"/>
      <c r="B46" s="691"/>
      <c r="C46" s="691"/>
      <c r="D46" s="691"/>
      <c r="E46" s="691"/>
      <c r="F46" s="691"/>
      <c r="G46" s="691"/>
      <c r="H46" s="691"/>
      <c r="I46" s="691"/>
      <c r="J46" s="435"/>
      <c r="K46" s="435"/>
    </row>
    <row r="47" spans="1:11" s="478" customFormat="1" ht="13.5" thickBot="1" x14ac:dyDescent="0.25">
      <c r="A47" s="691"/>
      <c r="B47" s="691"/>
      <c r="C47" s="691"/>
      <c r="D47" s="691"/>
      <c r="E47" s="691"/>
      <c r="F47" s="691"/>
      <c r="G47" s="435"/>
      <c r="H47" s="435"/>
      <c r="I47" s="691"/>
      <c r="J47" s="692" t="s">
        <v>277</v>
      </c>
      <c r="K47" s="692"/>
    </row>
    <row r="48" spans="1:11" s="478" customFormat="1" x14ac:dyDescent="0.2">
      <c r="A48" s="691"/>
      <c r="B48" s="691"/>
      <c r="C48" s="691"/>
      <c r="D48" s="691"/>
      <c r="E48" s="691"/>
      <c r="F48" s="623"/>
      <c r="G48" s="691"/>
      <c r="H48" s="691"/>
      <c r="I48" s="691"/>
      <c r="J48" s="448" t="s">
        <v>151</v>
      </c>
      <c r="K48" s="691"/>
    </row>
    <row r="49" spans="1:11" s="478" customFormat="1" x14ac:dyDescent="0.2">
      <c r="A49" s="691"/>
      <c r="B49" s="691"/>
      <c r="C49" s="428"/>
      <c r="D49" s="428"/>
      <c r="E49" s="434"/>
      <c r="F49" s="687"/>
      <c r="G49" s="685"/>
      <c r="H49" s="685"/>
      <c r="I49" s="623"/>
      <c r="J49" s="691"/>
      <c r="K49" s="691"/>
    </row>
    <row r="50" spans="1:11" s="478" customFormat="1" x14ac:dyDescent="0.2">
      <c r="A50" s="691"/>
      <c r="B50" s="691"/>
      <c r="C50" s="685"/>
      <c r="D50" s="685"/>
      <c r="E50" s="440"/>
      <c r="F50" s="449"/>
      <c r="G50" s="691"/>
      <c r="H50" s="436"/>
      <c r="I50" s="691"/>
      <c r="J50" s="691"/>
      <c r="K50" s="691"/>
    </row>
    <row r="51" spans="1:11" s="478" customFormat="1" ht="13.5" thickBot="1" x14ac:dyDescent="0.25">
      <c r="A51" s="691"/>
      <c r="B51" s="691"/>
      <c r="C51" s="691"/>
      <c r="D51" s="691"/>
      <c r="E51" s="691"/>
      <c r="F51" s="435"/>
      <c r="G51" s="691"/>
      <c r="H51" s="436"/>
      <c r="I51" s="691"/>
      <c r="J51" s="697" t="s">
        <v>411</v>
      </c>
      <c r="K51" s="691"/>
    </row>
    <row r="52" spans="1:11" s="478" customFormat="1" x14ac:dyDescent="0.2">
      <c r="A52" s="691"/>
      <c r="B52" s="691"/>
      <c r="C52" s="691"/>
      <c r="D52" s="691"/>
      <c r="E52" s="691"/>
      <c r="F52" s="622"/>
      <c r="G52" s="691"/>
      <c r="H52" s="436"/>
      <c r="I52" s="443"/>
      <c r="J52" s="444" t="s">
        <v>152</v>
      </c>
      <c r="K52" s="445"/>
    </row>
    <row r="53" spans="1:11" s="478" customFormat="1" x14ac:dyDescent="0.2">
      <c r="A53" s="691"/>
      <c r="B53" s="691"/>
      <c r="C53" s="428"/>
      <c r="D53" s="428"/>
      <c r="E53" s="434"/>
      <c r="F53" s="459"/>
      <c r="G53" s="691"/>
      <c r="H53" s="440"/>
      <c r="I53" s="622"/>
      <c r="J53" s="691"/>
      <c r="K53" s="691"/>
    </row>
    <row r="54" spans="1:11" s="478" customFormat="1" ht="13.5" thickBot="1" x14ac:dyDescent="0.25">
      <c r="A54" s="691"/>
      <c r="B54" s="691"/>
      <c r="C54" s="685"/>
      <c r="D54" s="685"/>
      <c r="E54" s="440"/>
      <c r="F54" s="442"/>
      <c r="G54" s="428"/>
      <c r="H54" s="691"/>
      <c r="I54" s="435"/>
      <c r="J54" s="435" t="s">
        <v>443</v>
      </c>
      <c r="K54" s="692"/>
    </row>
    <row r="55" spans="1:11" s="478" customFormat="1" x14ac:dyDescent="0.2">
      <c r="A55" s="691"/>
      <c r="B55" s="691"/>
      <c r="C55" s="691"/>
      <c r="D55" s="691"/>
      <c r="E55" s="691"/>
      <c r="F55" s="691"/>
      <c r="G55" s="691"/>
      <c r="H55" s="691"/>
      <c r="I55" s="435"/>
      <c r="J55" s="444" t="s">
        <v>153</v>
      </c>
      <c r="K55" s="435"/>
    </row>
    <row r="56" spans="1:11" s="478" customFormat="1" x14ac:dyDescent="0.2">
      <c r="A56" s="691"/>
      <c r="B56" s="691"/>
      <c r="C56" s="691"/>
      <c r="D56" s="691"/>
      <c r="E56" s="691"/>
      <c r="F56" s="691"/>
      <c r="G56" s="691"/>
      <c r="H56" s="691"/>
      <c r="I56" s="622"/>
      <c r="J56" s="435"/>
      <c r="K56" s="435"/>
    </row>
    <row r="57" spans="1:11" s="478" customFormat="1" x14ac:dyDescent="0.2">
      <c r="A57" s="585" t="s">
        <v>403</v>
      </c>
      <c r="B57" s="662"/>
      <c r="C57" s="662"/>
      <c r="D57" s="662"/>
      <c r="E57" s="662"/>
      <c r="F57" s="662"/>
      <c r="G57" s="662"/>
      <c r="H57" s="662"/>
      <c r="I57" s="663"/>
      <c r="J57" s="663"/>
      <c r="K57" s="662"/>
    </row>
    <row r="58" spans="1:11" s="478" customFormat="1" x14ac:dyDescent="0.2">
      <c r="B58" s="389"/>
      <c r="C58" s="586"/>
      <c r="D58" s="566"/>
      <c r="E58" s="566"/>
      <c r="F58" s="566"/>
      <c r="H58" s="566"/>
      <c r="I58" s="566"/>
      <c r="J58" s="662"/>
      <c r="K58" s="662"/>
    </row>
    <row r="59" spans="1:11" s="478" customFormat="1" x14ac:dyDescent="0.2">
      <c r="B59" s="389"/>
      <c r="C59" s="587"/>
      <c r="D59" s="587"/>
      <c r="E59" s="588"/>
      <c r="F59" s="621"/>
      <c r="H59" s="566"/>
      <c r="I59" s="566"/>
      <c r="J59" s="662"/>
      <c r="K59" s="662"/>
    </row>
    <row r="60" spans="1:11" s="478" customFormat="1" x14ac:dyDescent="0.2">
      <c r="B60" s="389"/>
      <c r="C60" s="621"/>
      <c r="D60" s="621"/>
      <c r="E60" s="590"/>
      <c r="F60" s="566"/>
      <c r="G60" s="625"/>
      <c r="H60" s="588"/>
      <c r="I60" s="566"/>
      <c r="J60" s="662"/>
      <c r="K60" s="662"/>
    </row>
    <row r="61" spans="1:11" s="478" customFormat="1" ht="13.5" thickBot="1" x14ac:dyDescent="0.25">
      <c r="B61" s="389"/>
      <c r="C61" s="566"/>
      <c r="D61" s="566"/>
      <c r="E61" s="566"/>
      <c r="G61" s="575"/>
      <c r="H61" s="591"/>
      <c r="I61" s="566"/>
      <c r="J61" s="662" t="s">
        <v>441</v>
      </c>
      <c r="K61" s="662"/>
    </row>
    <row r="62" spans="1:11" s="478" customFormat="1" x14ac:dyDescent="0.2">
      <c r="B62" s="389"/>
      <c r="C62" s="566"/>
      <c r="D62" s="566"/>
      <c r="E62" s="566"/>
      <c r="F62" s="566"/>
      <c r="G62" s="8"/>
      <c r="H62" s="591"/>
      <c r="I62" s="592"/>
      <c r="J62" s="581" t="s">
        <v>154</v>
      </c>
      <c r="K62" s="582"/>
    </row>
    <row r="63" spans="1:11" s="478" customFormat="1" x14ac:dyDescent="0.2">
      <c r="B63" s="389"/>
      <c r="C63" s="587"/>
      <c r="D63" s="587"/>
      <c r="E63" s="588"/>
      <c r="F63" s="566"/>
      <c r="G63" s="626"/>
      <c r="H63" s="590"/>
      <c r="I63" s="575"/>
      <c r="J63" s="662"/>
      <c r="K63" s="662"/>
    </row>
    <row r="64" spans="1:11" s="478" customFormat="1" ht="13.5" thickBot="1" x14ac:dyDescent="0.25">
      <c r="B64" s="389"/>
      <c r="C64" s="621"/>
      <c r="D64" s="621"/>
      <c r="E64" s="590"/>
      <c r="F64" s="587"/>
      <c r="H64" s="566"/>
      <c r="I64" s="575"/>
      <c r="J64" s="663" t="s">
        <v>444</v>
      </c>
      <c r="K64" s="602"/>
    </row>
    <row r="65" spans="1:11" s="478" customFormat="1" x14ac:dyDescent="0.2">
      <c r="D65" s="566"/>
      <c r="E65" s="566"/>
      <c r="F65" s="566"/>
      <c r="G65" s="566"/>
      <c r="H65" s="566"/>
      <c r="I65" s="575"/>
      <c r="J65" s="581" t="s">
        <v>155</v>
      </c>
      <c r="K65" s="663"/>
    </row>
    <row r="66" spans="1:11" s="478" customFormat="1" x14ac:dyDescent="0.2">
      <c r="D66" s="566"/>
      <c r="E66" s="566"/>
      <c r="F66" s="566"/>
      <c r="H66" s="566"/>
      <c r="I66" s="575"/>
      <c r="J66" s="663"/>
      <c r="K66" s="663"/>
    </row>
    <row r="67" spans="1:11" s="478" customFormat="1" ht="13.5" thickBot="1" x14ac:dyDescent="0.25">
      <c r="D67" s="566"/>
      <c r="E67" s="566"/>
      <c r="F67" s="587"/>
      <c r="G67" s="625"/>
      <c r="H67" s="588"/>
      <c r="I67" s="593"/>
      <c r="J67" s="602" t="s">
        <v>282</v>
      </c>
      <c r="K67" s="602"/>
    </row>
    <row r="68" spans="1:11" s="478" customFormat="1" x14ac:dyDescent="0.2">
      <c r="D68" s="566"/>
      <c r="E68" s="566"/>
      <c r="F68" s="621"/>
      <c r="G68" s="626"/>
      <c r="H68" s="590"/>
      <c r="I68" s="566"/>
      <c r="J68" s="584" t="s">
        <v>156</v>
      </c>
      <c r="K68" s="663"/>
    </row>
    <row r="70" spans="1:11" x14ac:dyDescent="0.2">
      <c r="A70" s="30">
        <v>1</v>
      </c>
      <c r="B70" s="32" t="s">
        <v>398</v>
      </c>
    </row>
    <row r="71" spans="1:11" x14ac:dyDescent="0.2">
      <c r="A71" s="30">
        <v>2</v>
      </c>
      <c r="B71" s="698" t="s">
        <v>294</v>
      </c>
    </row>
    <row r="72" spans="1:11" x14ac:dyDescent="0.2">
      <c r="A72" s="30">
        <v>3</v>
      </c>
      <c r="B72" s="695" t="s">
        <v>442</v>
      </c>
    </row>
    <row r="73" spans="1:11" x14ac:dyDescent="0.2">
      <c r="A73" s="30">
        <v>4</v>
      </c>
      <c r="B73" s="694" t="s">
        <v>277</v>
      </c>
    </row>
    <row r="74" spans="1:11" x14ac:dyDescent="0.2">
      <c r="A74" s="30">
        <v>5</v>
      </c>
      <c r="B74" s="694" t="s">
        <v>411</v>
      </c>
    </row>
    <row r="75" spans="1:11" x14ac:dyDescent="0.2">
      <c r="A75" s="30">
        <v>6</v>
      </c>
      <c r="B75" s="694" t="s">
        <v>443</v>
      </c>
    </row>
    <row r="76" spans="1:11" x14ac:dyDescent="0.2">
      <c r="A76" s="30">
        <v>7</v>
      </c>
      <c r="B76" s="694" t="s">
        <v>441</v>
      </c>
    </row>
    <row r="77" spans="1:11" x14ac:dyDescent="0.2">
      <c r="A77" s="30">
        <v>8</v>
      </c>
      <c r="B77" s="694" t="s">
        <v>444</v>
      </c>
    </row>
    <row r="78" spans="1:11" x14ac:dyDescent="0.2">
      <c r="A78" s="30">
        <v>9</v>
      </c>
      <c r="B78" s="694" t="s">
        <v>282</v>
      </c>
    </row>
  </sheetData>
  <conditionalFormatting sqref="B28:I56 G61:I61 H58:I60 F58:F60 H62:I64 F62:F64 G65:I65 H66:I68 F66:F68">
    <cfRule type="cellIs" dxfId="108" priority="2" stopIfTrue="1" operator="equal">
      <formula>13</formula>
    </cfRule>
  </conditionalFormatting>
  <conditionalFormatting sqref="C9:G24">
    <cfRule type="cellIs" dxfId="107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180" r:id="rId1"/>
  <headerFooter>
    <oddHeader>&amp;R&amp;"Arial,Regular"&amp;9Page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54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M1" sqref="M1"/>
    </sheetView>
  </sheetViews>
  <sheetFormatPr defaultRowHeight="12.75" x14ac:dyDescent="0.2"/>
  <cols>
    <col min="1" max="1" width="3.28515625" style="12" customWidth="1"/>
    <col min="2" max="2" width="15.7109375" style="12" bestFit="1" customWidth="1"/>
    <col min="3" max="3" width="7.28515625" style="12" bestFit="1" customWidth="1"/>
    <col min="4" max="4" width="7.42578125" style="12" customWidth="1"/>
    <col min="5" max="5" width="9.140625" style="12" bestFit="1" customWidth="1"/>
    <col min="6" max="6" width="6.7109375" style="12" bestFit="1" customWidth="1"/>
    <col min="7" max="7" width="5.140625" style="12" bestFit="1" customWidth="1"/>
    <col min="8" max="8" width="9.140625" style="12" customWidth="1"/>
    <col min="9" max="9" width="3.28515625" style="12" customWidth="1"/>
    <col min="10" max="10" width="15.7109375" style="12" bestFit="1" customWidth="1"/>
    <col min="11" max="11" width="7.28515625" style="12" bestFit="1" customWidth="1"/>
    <col min="12" max="12" width="7.42578125" style="12" customWidth="1"/>
    <col min="13" max="13" width="9.140625" style="12"/>
    <col min="14" max="14" width="6.7109375" style="12" customWidth="1"/>
    <col min="15" max="15" width="5.140625" style="12" bestFit="1" customWidth="1"/>
    <col min="16" max="16384" width="9.140625" style="12"/>
  </cols>
  <sheetData>
    <row r="1" spans="1:15" x14ac:dyDescent="0.2">
      <c r="A1" s="11" t="str">
        <f>UPPER((Kalend!E26)&amp;" - "&amp;(Kalend!C26)&amp;" - "&amp;(Kalend!D26))</f>
        <v>8 - JÕHVI 16. MV - ÜKSIK</v>
      </c>
      <c r="I1" s="297" t="str">
        <f>HYPERLINK("#Kalend!I1","Kalender")</f>
        <v>Kalender</v>
      </c>
      <c r="J1" s="478"/>
      <c r="K1" s="297" t="str">
        <f>HYPERLINK("#Reit!G1","Reiting")</f>
        <v>Reiting</v>
      </c>
      <c r="L1" s="478"/>
      <c r="M1" s="478"/>
    </row>
    <row r="2" spans="1:15" x14ac:dyDescent="0.2">
      <c r="A2" s="9" t="str">
        <f>"Toimumisaeg: "&amp;(Kalend!A26)&amp;" kell "&amp;(Kalend!B26)</f>
        <v>Toimumisaeg: P, 31.07.2016 kell 11:00</v>
      </c>
    </row>
    <row r="3" spans="1:15" x14ac:dyDescent="0.2">
      <c r="A3" s="9" t="str">
        <f>"Toimumiskoht: "&amp;(Kalend!F26)</f>
        <v>Toimumiskoht: Jõhvi, Neptun</v>
      </c>
    </row>
    <row r="4" spans="1:15" x14ac:dyDescent="0.2">
      <c r="A4" s="9" t="str">
        <f>"Korraldaja: "&amp;(Kalend!G26)</f>
        <v>Korraldaja: LTK Üks-Teist, Tõnu Kapper</v>
      </c>
    </row>
    <row r="6" spans="1:15" s="654" customFormat="1" x14ac:dyDescent="0.2">
      <c r="A6" s="556" t="s">
        <v>271</v>
      </c>
      <c r="B6" s="556"/>
      <c r="C6" s="334" t="s">
        <v>272</v>
      </c>
      <c r="D6" s="334" t="s">
        <v>273</v>
      </c>
      <c r="E6" s="334" t="s">
        <v>274</v>
      </c>
      <c r="F6" s="334" t="s">
        <v>275</v>
      </c>
      <c r="G6" s="334" t="s">
        <v>86</v>
      </c>
      <c r="I6" s="556" t="s">
        <v>366</v>
      </c>
      <c r="J6" s="556"/>
      <c r="K6" s="334" t="s">
        <v>272</v>
      </c>
      <c r="L6" s="334" t="s">
        <v>273</v>
      </c>
      <c r="M6" s="334" t="s">
        <v>274</v>
      </c>
      <c r="N6" s="334" t="s">
        <v>275</v>
      </c>
      <c r="O6" s="334" t="s">
        <v>86</v>
      </c>
    </row>
    <row r="7" spans="1:15" s="654" customFormat="1" x14ac:dyDescent="0.2">
      <c r="A7" s="556">
        <v>1</v>
      </c>
      <c r="B7" s="467" t="s">
        <v>44</v>
      </c>
      <c r="C7" s="557">
        <v>11</v>
      </c>
      <c r="D7" s="470"/>
      <c r="E7" s="557">
        <v>12</v>
      </c>
      <c r="F7" s="557"/>
      <c r="G7" s="702" t="s">
        <v>261</v>
      </c>
      <c r="I7" s="556">
        <v>1</v>
      </c>
      <c r="J7" s="467" t="s">
        <v>49</v>
      </c>
      <c r="K7" s="557">
        <v>13</v>
      </c>
      <c r="L7" s="557">
        <v>13</v>
      </c>
      <c r="M7" s="557"/>
      <c r="N7" s="557"/>
      <c r="O7" s="702" t="s">
        <v>259</v>
      </c>
    </row>
    <row r="8" spans="1:15" s="654" customFormat="1" x14ac:dyDescent="0.2">
      <c r="A8" s="556">
        <v>2</v>
      </c>
      <c r="B8" s="467" t="s">
        <v>53</v>
      </c>
      <c r="C8" s="557">
        <v>10</v>
      </c>
      <c r="D8" s="557"/>
      <c r="E8" s="557">
        <v>13</v>
      </c>
      <c r="F8" s="557">
        <v>8</v>
      </c>
      <c r="G8" s="702" t="s">
        <v>260</v>
      </c>
      <c r="I8" s="556">
        <v>2</v>
      </c>
      <c r="J8" s="467" t="s">
        <v>51</v>
      </c>
      <c r="K8" s="557">
        <v>13</v>
      </c>
      <c r="L8" s="557">
        <v>8</v>
      </c>
      <c r="M8" s="557"/>
      <c r="N8" s="557">
        <v>13</v>
      </c>
      <c r="O8" s="702" t="s">
        <v>146</v>
      </c>
    </row>
    <row r="9" spans="1:15" s="654" customFormat="1" x14ac:dyDescent="0.2">
      <c r="A9" s="556">
        <v>3</v>
      </c>
      <c r="B9" s="467" t="s">
        <v>50</v>
      </c>
      <c r="C9" s="557">
        <v>13</v>
      </c>
      <c r="D9" s="557">
        <v>13</v>
      </c>
      <c r="E9" s="557"/>
      <c r="F9" s="557"/>
      <c r="G9" s="702" t="s">
        <v>259</v>
      </c>
      <c r="I9" s="556">
        <v>3</v>
      </c>
      <c r="J9" s="467" t="s">
        <v>81</v>
      </c>
      <c r="K9" s="557">
        <v>6</v>
      </c>
      <c r="L9" s="557"/>
      <c r="M9" s="557">
        <v>13</v>
      </c>
      <c r="N9" s="557">
        <v>9</v>
      </c>
      <c r="O9" s="702" t="s">
        <v>260</v>
      </c>
    </row>
    <row r="10" spans="1:15" s="654" customFormat="1" x14ac:dyDescent="0.2">
      <c r="A10" s="556">
        <v>4</v>
      </c>
      <c r="B10" s="467" t="s">
        <v>60</v>
      </c>
      <c r="C10" s="557">
        <v>13</v>
      </c>
      <c r="D10" s="557">
        <v>11</v>
      </c>
      <c r="E10" s="557"/>
      <c r="F10" s="557">
        <v>13</v>
      </c>
      <c r="G10" s="702" t="s">
        <v>146</v>
      </c>
      <c r="I10" s="556">
        <v>4</v>
      </c>
      <c r="J10" s="651"/>
      <c r="K10" s="557">
        <v>0</v>
      </c>
      <c r="L10" s="557"/>
      <c r="M10" s="557">
        <v>0</v>
      </c>
      <c r="N10" s="557"/>
      <c r="O10" s="645"/>
    </row>
    <row r="11" spans="1:15" s="654" customFormat="1" x14ac:dyDescent="0.2">
      <c r="A11" s="471"/>
      <c r="B11" s="560"/>
      <c r="C11" s="472"/>
      <c r="D11" s="472"/>
      <c r="E11" s="472"/>
      <c r="F11" s="473"/>
      <c r="G11" s="637"/>
      <c r="I11" s="471"/>
      <c r="J11" s="560"/>
      <c r="K11" s="472"/>
      <c r="L11" s="472"/>
      <c r="M11" s="472"/>
      <c r="N11" s="473"/>
      <c r="O11" s="637"/>
    </row>
    <row r="12" spans="1:15" s="654" customFormat="1" x14ac:dyDescent="0.2">
      <c r="A12" s="556" t="s">
        <v>276</v>
      </c>
      <c r="B12" s="556"/>
      <c r="C12" s="334" t="s">
        <v>272</v>
      </c>
      <c r="D12" s="334" t="s">
        <v>273</v>
      </c>
      <c r="E12" s="334" t="s">
        <v>274</v>
      </c>
      <c r="F12" s="334" t="s">
        <v>275</v>
      </c>
      <c r="G12" s="334" t="s">
        <v>86</v>
      </c>
      <c r="I12" s="556" t="s">
        <v>367</v>
      </c>
      <c r="J12" s="556"/>
      <c r="K12" s="334" t="s">
        <v>272</v>
      </c>
      <c r="L12" s="334" t="s">
        <v>273</v>
      </c>
      <c r="M12" s="334" t="s">
        <v>274</v>
      </c>
      <c r="N12" s="334" t="s">
        <v>275</v>
      </c>
      <c r="O12" s="334" t="s">
        <v>86</v>
      </c>
    </row>
    <row r="13" spans="1:15" s="654" customFormat="1" x14ac:dyDescent="0.2">
      <c r="A13" s="556">
        <v>1</v>
      </c>
      <c r="B13" s="467" t="s">
        <v>46</v>
      </c>
      <c r="C13" s="557">
        <v>13</v>
      </c>
      <c r="D13" s="557">
        <v>13</v>
      </c>
      <c r="E13" s="557"/>
      <c r="F13" s="557"/>
      <c r="G13" s="702" t="s">
        <v>259</v>
      </c>
      <c r="I13" s="556">
        <v>1</v>
      </c>
      <c r="J13" s="467" t="s">
        <v>48</v>
      </c>
      <c r="K13" s="557">
        <v>13</v>
      </c>
      <c r="L13" s="557">
        <v>13</v>
      </c>
      <c r="M13" s="557"/>
      <c r="N13" s="557"/>
      <c r="O13" s="486" t="s">
        <v>259</v>
      </c>
    </row>
    <row r="14" spans="1:15" s="654" customFormat="1" x14ac:dyDescent="0.2">
      <c r="A14" s="556">
        <v>2</v>
      </c>
      <c r="B14" s="467" t="s">
        <v>54</v>
      </c>
      <c r="C14" s="557">
        <v>13</v>
      </c>
      <c r="D14" s="557">
        <v>4</v>
      </c>
      <c r="E14" s="557"/>
      <c r="F14" s="557">
        <v>10</v>
      </c>
      <c r="G14" s="702" t="s">
        <v>260</v>
      </c>
      <c r="I14" s="556">
        <v>2</v>
      </c>
      <c r="J14" s="467" t="s">
        <v>349</v>
      </c>
      <c r="K14" s="557">
        <v>12</v>
      </c>
      <c r="L14" s="557"/>
      <c r="M14" s="557">
        <v>13</v>
      </c>
      <c r="N14" s="557">
        <v>3</v>
      </c>
      <c r="O14" s="486" t="s">
        <v>260</v>
      </c>
    </row>
    <row r="15" spans="1:15" s="654" customFormat="1" x14ac:dyDescent="0.2">
      <c r="A15" s="556">
        <v>3</v>
      </c>
      <c r="B15" s="467" t="s">
        <v>339</v>
      </c>
      <c r="C15" s="557">
        <v>5</v>
      </c>
      <c r="D15" s="557"/>
      <c r="E15" s="557">
        <v>13</v>
      </c>
      <c r="F15" s="557">
        <v>13</v>
      </c>
      <c r="G15" s="702" t="s">
        <v>146</v>
      </c>
      <c r="I15" s="556">
        <v>3</v>
      </c>
      <c r="J15" s="467" t="s">
        <v>15</v>
      </c>
      <c r="K15" s="557">
        <v>13</v>
      </c>
      <c r="L15" s="557">
        <v>12</v>
      </c>
      <c r="M15" s="557"/>
      <c r="N15" s="557">
        <v>13</v>
      </c>
      <c r="O15" s="702" t="s">
        <v>146</v>
      </c>
    </row>
    <row r="16" spans="1:15" s="654" customFormat="1" x14ac:dyDescent="0.2">
      <c r="A16" s="556">
        <v>4</v>
      </c>
      <c r="B16" s="651"/>
      <c r="C16" s="557">
        <v>0</v>
      </c>
      <c r="D16" s="557"/>
      <c r="E16" s="557">
        <v>0</v>
      </c>
      <c r="F16" s="557"/>
      <c r="G16" s="645"/>
      <c r="I16" s="556">
        <v>4</v>
      </c>
      <c r="J16" s="651"/>
      <c r="K16" s="557">
        <v>0</v>
      </c>
      <c r="L16" s="557"/>
      <c r="M16" s="557">
        <v>0</v>
      </c>
      <c r="N16" s="557"/>
      <c r="O16" s="645"/>
    </row>
    <row r="17" spans="1:15" s="654" customFormat="1" x14ac:dyDescent="0.2">
      <c r="A17" s="471"/>
      <c r="B17" s="560"/>
      <c r="C17" s="472"/>
      <c r="D17" s="472"/>
      <c r="E17" s="472"/>
      <c r="F17" s="473"/>
      <c r="G17" s="637"/>
    </row>
    <row r="18" spans="1:15" s="654" customFormat="1" x14ac:dyDescent="0.2">
      <c r="A18" s="556" t="s">
        <v>299</v>
      </c>
      <c r="B18" s="556"/>
      <c r="C18" s="334" t="s">
        <v>272</v>
      </c>
      <c r="D18" s="334" t="s">
        <v>273</v>
      </c>
      <c r="E18" s="334" t="s">
        <v>274</v>
      </c>
      <c r="F18" s="334" t="s">
        <v>275</v>
      </c>
      <c r="G18" s="334" t="s">
        <v>86</v>
      </c>
      <c r="I18" s="662"/>
      <c r="J18" s="662"/>
      <c r="K18" s="662"/>
      <c r="L18" s="662"/>
      <c r="M18" s="662"/>
      <c r="N18" s="662"/>
      <c r="O18" s="662"/>
    </row>
    <row r="19" spans="1:15" s="654" customFormat="1" x14ac:dyDescent="0.2">
      <c r="A19" s="556">
        <v>1</v>
      </c>
      <c r="B19" s="701" t="s">
        <v>47</v>
      </c>
      <c r="C19" s="557">
        <v>13</v>
      </c>
      <c r="D19" s="557">
        <v>12</v>
      </c>
      <c r="E19" s="557"/>
      <c r="F19" s="557">
        <v>13</v>
      </c>
      <c r="G19" s="702" t="s">
        <v>146</v>
      </c>
      <c r="I19" s="662"/>
      <c r="J19" s="662"/>
      <c r="K19" s="662"/>
      <c r="L19" s="662"/>
      <c r="M19" s="662"/>
      <c r="N19" s="662"/>
      <c r="O19" s="662"/>
    </row>
    <row r="20" spans="1:15" s="654" customFormat="1" x14ac:dyDescent="0.2">
      <c r="A20" s="556">
        <v>2</v>
      </c>
      <c r="B20" s="467" t="s">
        <v>56</v>
      </c>
      <c r="C20" s="557">
        <v>9</v>
      </c>
      <c r="D20" s="557"/>
      <c r="E20" s="557">
        <v>13</v>
      </c>
      <c r="F20" s="557">
        <v>4</v>
      </c>
      <c r="G20" s="702" t="s">
        <v>260</v>
      </c>
      <c r="I20" s="662"/>
      <c r="J20" s="662"/>
      <c r="K20" s="662"/>
      <c r="L20" s="662"/>
      <c r="M20" s="662"/>
      <c r="N20" s="662"/>
      <c r="O20" s="662"/>
    </row>
    <row r="21" spans="1:15" s="654" customFormat="1" x14ac:dyDescent="0.2">
      <c r="A21" s="556">
        <v>3</v>
      </c>
      <c r="B21" s="467" t="s">
        <v>65</v>
      </c>
      <c r="C21" s="557">
        <v>13</v>
      </c>
      <c r="D21" s="557">
        <v>13</v>
      </c>
      <c r="E21" s="557"/>
      <c r="F21" s="557"/>
      <c r="G21" s="702" t="s">
        <v>259</v>
      </c>
      <c r="I21" s="662"/>
      <c r="J21" s="662"/>
      <c r="K21" s="662"/>
      <c r="L21" s="662"/>
      <c r="M21" s="662"/>
      <c r="N21" s="662"/>
      <c r="O21" s="662"/>
    </row>
    <row r="22" spans="1:15" s="654" customFormat="1" x14ac:dyDescent="0.2">
      <c r="A22" s="556">
        <v>4</v>
      </c>
      <c r="B22" s="651"/>
      <c r="C22" s="557">
        <v>0</v>
      </c>
      <c r="D22" s="557"/>
      <c r="E22" s="557">
        <v>0</v>
      </c>
      <c r="F22" s="557"/>
      <c r="G22" s="645"/>
      <c r="I22" s="662"/>
      <c r="J22" s="662"/>
      <c r="K22" s="662"/>
      <c r="L22" s="662"/>
      <c r="M22" s="662"/>
      <c r="N22" s="662"/>
      <c r="O22" s="662"/>
    </row>
    <row r="23" spans="1:15" s="654" customFormat="1" x14ac:dyDescent="0.2">
      <c r="I23" s="471"/>
      <c r="J23" s="472"/>
      <c r="K23" s="472"/>
      <c r="L23" s="472"/>
      <c r="M23" s="472"/>
      <c r="N23" s="473"/>
      <c r="O23" s="637"/>
    </row>
    <row r="24" spans="1:15" s="654" customFormat="1" x14ac:dyDescent="0.2">
      <c r="A24" s="556" t="s">
        <v>369</v>
      </c>
      <c r="B24" s="556"/>
      <c r="C24" s="334" t="s">
        <v>272</v>
      </c>
      <c r="D24" s="334" t="s">
        <v>273</v>
      </c>
      <c r="E24" s="334" t="s">
        <v>274</v>
      </c>
      <c r="F24" s="334" t="s">
        <v>275</v>
      </c>
      <c r="G24" s="334" t="s">
        <v>86</v>
      </c>
      <c r="I24" s="662"/>
      <c r="J24" s="662"/>
      <c r="K24" s="662"/>
      <c r="L24" s="662"/>
      <c r="M24" s="662"/>
      <c r="N24" s="662"/>
      <c r="O24" s="662"/>
    </row>
    <row r="25" spans="1:15" s="654" customFormat="1" x14ac:dyDescent="0.2">
      <c r="A25" s="556">
        <v>1</v>
      </c>
      <c r="B25" s="467" t="s">
        <v>45</v>
      </c>
      <c r="C25" s="557">
        <v>13</v>
      </c>
      <c r="D25" s="703">
        <v>13</v>
      </c>
      <c r="E25" s="557"/>
      <c r="F25" s="557"/>
      <c r="G25" s="702" t="s">
        <v>259</v>
      </c>
      <c r="I25" s="662"/>
      <c r="J25" s="662"/>
      <c r="K25" s="662"/>
      <c r="L25" s="662"/>
      <c r="M25" s="662"/>
      <c r="N25" s="662"/>
      <c r="O25" s="662"/>
    </row>
    <row r="26" spans="1:15" s="654" customFormat="1" x14ac:dyDescent="0.2">
      <c r="A26" s="556">
        <v>2</v>
      </c>
      <c r="B26" s="467" t="s">
        <v>55</v>
      </c>
      <c r="C26" s="557">
        <v>11</v>
      </c>
      <c r="D26" s="557"/>
      <c r="E26" s="557">
        <v>13</v>
      </c>
      <c r="F26" s="557">
        <v>13</v>
      </c>
      <c r="G26" s="486" t="s">
        <v>146</v>
      </c>
      <c r="I26" s="662"/>
      <c r="J26" s="662"/>
      <c r="K26" s="662"/>
      <c r="L26" s="662"/>
      <c r="M26" s="662"/>
      <c r="N26" s="662"/>
      <c r="O26" s="662"/>
    </row>
    <row r="27" spans="1:15" s="654" customFormat="1" x14ac:dyDescent="0.2">
      <c r="A27" s="556">
        <v>3</v>
      </c>
      <c r="B27" s="467" t="s">
        <v>347</v>
      </c>
      <c r="C27" s="557">
        <v>13</v>
      </c>
      <c r="D27" s="703">
        <v>4</v>
      </c>
      <c r="E27" s="557"/>
      <c r="F27" s="557">
        <v>4</v>
      </c>
      <c r="G27" s="486" t="s">
        <v>260</v>
      </c>
      <c r="I27" s="662"/>
      <c r="J27" s="662"/>
      <c r="K27" s="662"/>
      <c r="L27" s="662"/>
      <c r="M27" s="662"/>
      <c r="N27" s="662"/>
      <c r="O27" s="662"/>
    </row>
    <row r="28" spans="1:15" s="654" customFormat="1" x14ac:dyDescent="0.2">
      <c r="A28" s="556">
        <v>4</v>
      </c>
      <c r="B28" s="651"/>
      <c r="C28" s="557">
        <v>0</v>
      </c>
      <c r="D28" s="557"/>
      <c r="E28" s="557">
        <v>0</v>
      </c>
      <c r="F28" s="557"/>
      <c r="G28" s="645"/>
      <c r="I28" s="662"/>
      <c r="J28" s="662"/>
      <c r="K28" s="662"/>
      <c r="L28" s="662"/>
      <c r="M28" s="662"/>
      <c r="N28" s="662"/>
      <c r="O28" s="662"/>
    </row>
    <row r="29" spans="1:15" s="662" customFormat="1" x14ac:dyDescent="0.2"/>
    <row r="30" spans="1:15" s="662" customFormat="1" x14ac:dyDescent="0.2">
      <c r="A30" s="563" t="s">
        <v>278</v>
      </c>
      <c r="B30" s="663"/>
      <c r="C30" s="472"/>
      <c r="D30" s="472"/>
      <c r="E30" s="472"/>
      <c r="F30" s="473"/>
      <c r="G30" s="637"/>
    </row>
    <row r="31" spans="1:15" s="662" customFormat="1" x14ac:dyDescent="0.2"/>
    <row r="32" spans="1:15" s="662" customFormat="1" x14ac:dyDescent="0.2">
      <c r="A32" s="565"/>
      <c r="B32" s="704" t="s">
        <v>147</v>
      </c>
      <c r="C32" s="566">
        <v>0</v>
      </c>
    </row>
    <row r="33" spans="1:13" s="662" customFormat="1" x14ac:dyDescent="0.2">
      <c r="A33" s="567"/>
      <c r="B33" s="568"/>
      <c r="C33" s="569" t="s">
        <v>50</v>
      </c>
      <c r="D33" s="653"/>
      <c r="F33" s="566">
        <v>5</v>
      </c>
    </row>
    <row r="34" spans="1:13" s="662" customFormat="1" x14ac:dyDescent="0.2">
      <c r="A34" s="567" t="s">
        <v>247</v>
      </c>
      <c r="B34" s="653" t="s">
        <v>50</v>
      </c>
      <c r="C34" s="571">
        <v>13</v>
      </c>
      <c r="E34" s="572"/>
    </row>
    <row r="35" spans="1:13" s="662" customFormat="1" x14ac:dyDescent="0.2">
      <c r="A35" s="567"/>
      <c r="D35" s="663"/>
      <c r="E35" s="573"/>
      <c r="F35" s="603" t="s">
        <v>51</v>
      </c>
      <c r="I35" s="566">
        <v>11</v>
      </c>
    </row>
    <row r="36" spans="1:13" s="662" customFormat="1" x14ac:dyDescent="0.2">
      <c r="A36" s="567" t="s">
        <v>254</v>
      </c>
      <c r="B36" s="662" t="s">
        <v>47</v>
      </c>
      <c r="C36" s="575">
        <v>2</v>
      </c>
      <c r="E36" s="573"/>
      <c r="F36" s="576"/>
      <c r="G36" s="568"/>
      <c r="H36" s="572"/>
    </row>
    <row r="37" spans="1:13" s="662" customFormat="1" x14ac:dyDescent="0.2">
      <c r="A37" s="567"/>
      <c r="B37" s="568"/>
      <c r="C37" s="603" t="s">
        <v>51</v>
      </c>
      <c r="E37" s="577"/>
      <c r="F37" s="575">
        <v>13</v>
      </c>
      <c r="G37" s="663"/>
      <c r="H37" s="573"/>
    </row>
    <row r="38" spans="1:13" s="662" customFormat="1" x14ac:dyDescent="0.2">
      <c r="A38" s="567" t="s">
        <v>374</v>
      </c>
      <c r="B38" s="653" t="s">
        <v>51</v>
      </c>
      <c r="C38" s="578">
        <v>13</v>
      </c>
      <c r="D38" s="568"/>
      <c r="F38" s="663"/>
      <c r="G38" s="663"/>
      <c r="H38" s="573"/>
    </row>
    <row r="39" spans="1:13" s="662" customFormat="1" x14ac:dyDescent="0.2">
      <c r="A39" s="579"/>
      <c r="F39" s="663"/>
      <c r="G39" s="663"/>
      <c r="H39" s="573"/>
      <c r="I39" s="603" t="s">
        <v>45</v>
      </c>
      <c r="K39" s="661"/>
    </row>
    <row r="40" spans="1:13" s="662" customFormat="1" x14ac:dyDescent="0.2">
      <c r="A40" s="565"/>
      <c r="B40" s="704" t="s">
        <v>147</v>
      </c>
      <c r="C40" s="566">
        <v>0</v>
      </c>
      <c r="F40" s="663"/>
      <c r="G40" s="663"/>
      <c r="H40" s="573"/>
      <c r="I40" s="568"/>
      <c r="J40" s="572"/>
    </row>
    <row r="41" spans="1:13" s="662" customFormat="1" x14ac:dyDescent="0.2">
      <c r="A41" s="567"/>
      <c r="B41" s="568"/>
      <c r="C41" s="569" t="s">
        <v>45</v>
      </c>
      <c r="D41" s="653"/>
      <c r="F41" s="575">
        <v>13</v>
      </c>
      <c r="G41" s="663"/>
      <c r="H41" s="573"/>
      <c r="I41" s="663"/>
      <c r="J41" s="573"/>
    </row>
    <row r="42" spans="1:13" s="662" customFormat="1" x14ac:dyDescent="0.2">
      <c r="A42" s="567" t="s">
        <v>248</v>
      </c>
      <c r="B42" s="653" t="s">
        <v>45</v>
      </c>
      <c r="C42" s="571">
        <v>13</v>
      </c>
      <c r="E42" s="572"/>
      <c r="F42" s="663"/>
      <c r="G42" s="663"/>
      <c r="H42" s="573"/>
      <c r="I42" s="663"/>
      <c r="J42" s="573"/>
    </row>
    <row r="43" spans="1:13" s="662" customFormat="1" x14ac:dyDescent="0.2">
      <c r="A43" s="567"/>
      <c r="D43" s="663"/>
      <c r="E43" s="573"/>
      <c r="F43" s="653" t="s">
        <v>45</v>
      </c>
      <c r="G43" s="653"/>
      <c r="H43" s="577"/>
      <c r="I43" s="575">
        <v>13</v>
      </c>
      <c r="J43" s="573"/>
    </row>
    <row r="44" spans="1:13" s="662" customFormat="1" x14ac:dyDescent="0.2">
      <c r="A44" s="567" t="s">
        <v>249</v>
      </c>
      <c r="B44" s="662" t="s">
        <v>65</v>
      </c>
      <c r="C44" s="575">
        <v>13</v>
      </c>
      <c r="E44" s="573"/>
      <c r="F44" s="603"/>
      <c r="G44" s="663"/>
      <c r="H44" s="663"/>
      <c r="I44" s="663"/>
      <c r="J44" s="573"/>
    </row>
    <row r="45" spans="1:13" s="662" customFormat="1" x14ac:dyDescent="0.2">
      <c r="A45" s="567"/>
      <c r="B45" s="568"/>
      <c r="C45" s="603" t="s">
        <v>65</v>
      </c>
      <c r="E45" s="577"/>
      <c r="F45" s="575">
        <v>7</v>
      </c>
      <c r="I45" s="663"/>
      <c r="J45" s="573"/>
    </row>
    <row r="46" spans="1:13" s="662" customFormat="1" x14ac:dyDescent="0.2">
      <c r="A46" s="567" t="s">
        <v>251</v>
      </c>
      <c r="B46" s="653" t="s">
        <v>339</v>
      </c>
      <c r="C46" s="578">
        <v>3</v>
      </c>
      <c r="D46" s="568"/>
      <c r="F46" s="663"/>
      <c r="G46" s="663"/>
      <c r="H46" s="663"/>
      <c r="I46" s="663"/>
      <c r="J46" s="573"/>
    </row>
    <row r="47" spans="1:13" s="662" customFormat="1" ht="13.5" thickBot="1" x14ac:dyDescent="0.25">
      <c r="I47" s="663"/>
      <c r="J47" s="573"/>
      <c r="L47" s="662" t="s">
        <v>49</v>
      </c>
    </row>
    <row r="48" spans="1:13" s="662" customFormat="1" x14ac:dyDescent="0.2">
      <c r="A48" s="565"/>
      <c r="B48" s="704" t="s">
        <v>147</v>
      </c>
      <c r="C48" s="566">
        <v>0</v>
      </c>
      <c r="I48" s="663"/>
      <c r="J48" s="573"/>
      <c r="K48" s="580"/>
      <c r="L48" s="581" t="s">
        <v>148</v>
      </c>
      <c r="M48" s="582"/>
    </row>
    <row r="49" spans="1:13" s="662" customFormat="1" x14ac:dyDescent="0.2">
      <c r="A49" s="567"/>
      <c r="B49" s="568"/>
      <c r="C49" s="569" t="s">
        <v>49</v>
      </c>
      <c r="D49" s="653"/>
      <c r="F49" s="566">
        <v>13</v>
      </c>
      <c r="I49" s="663"/>
      <c r="J49" s="573"/>
    </row>
    <row r="50" spans="1:13" s="662" customFormat="1" x14ac:dyDescent="0.2">
      <c r="A50" s="567" t="s">
        <v>375</v>
      </c>
      <c r="B50" s="653" t="s">
        <v>49</v>
      </c>
      <c r="C50" s="571">
        <v>13</v>
      </c>
      <c r="E50" s="572"/>
      <c r="I50" s="663"/>
      <c r="J50" s="573"/>
    </row>
    <row r="51" spans="1:13" s="662" customFormat="1" x14ac:dyDescent="0.2">
      <c r="A51" s="567"/>
      <c r="D51" s="663"/>
      <c r="E51" s="573"/>
      <c r="F51" s="662" t="s">
        <v>49</v>
      </c>
      <c r="I51" s="575">
        <v>13</v>
      </c>
      <c r="J51" s="573"/>
    </row>
    <row r="52" spans="1:13" s="662" customFormat="1" x14ac:dyDescent="0.2">
      <c r="A52" s="567" t="s">
        <v>253</v>
      </c>
      <c r="B52" s="662" t="s">
        <v>55</v>
      </c>
      <c r="C52" s="707">
        <v>9</v>
      </c>
      <c r="E52" s="573"/>
      <c r="F52" s="576"/>
      <c r="G52" s="568"/>
      <c r="H52" s="572"/>
      <c r="I52" s="663"/>
      <c r="J52" s="573"/>
    </row>
    <row r="53" spans="1:13" s="662" customFormat="1" x14ac:dyDescent="0.2">
      <c r="A53" s="567"/>
      <c r="B53" s="568"/>
      <c r="C53" s="603" t="s">
        <v>15</v>
      </c>
      <c r="E53" s="577"/>
      <c r="F53" s="586"/>
      <c r="G53" s="663"/>
      <c r="H53" s="573"/>
      <c r="I53" s="663"/>
      <c r="J53" s="573"/>
    </row>
    <row r="54" spans="1:13" s="662" customFormat="1" x14ac:dyDescent="0.2">
      <c r="A54" s="567" t="s">
        <v>373</v>
      </c>
      <c r="B54" s="653" t="s">
        <v>15</v>
      </c>
      <c r="C54" s="578">
        <v>13</v>
      </c>
      <c r="D54" s="568"/>
      <c r="F54" s="663"/>
      <c r="G54" s="663"/>
      <c r="H54" s="573"/>
      <c r="I54" s="663"/>
      <c r="J54" s="573"/>
    </row>
    <row r="55" spans="1:13" s="662" customFormat="1" x14ac:dyDescent="0.2">
      <c r="F55" s="663"/>
      <c r="G55" s="663"/>
      <c r="H55" s="573"/>
      <c r="I55" s="653" t="s">
        <v>49</v>
      </c>
      <c r="J55" s="577"/>
      <c r="K55" s="566">
        <v>13</v>
      </c>
    </row>
    <row r="56" spans="1:13" s="662" customFormat="1" ht="13.5" thickBot="1" x14ac:dyDescent="0.25">
      <c r="A56" s="565" t="s">
        <v>246</v>
      </c>
      <c r="B56" s="662" t="s">
        <v>46</v>
      </c>
      <c r="C56" s="566">
        <v>13</v>
      </c>
      <c r="F56" s="663"/>
      <c r="G56" s="663"/>
      <c r="H56" s="573"/>
      <c r="L56" s="663" t="s">
        <v>45</v>
      </c>
      <c r="M56" s="602"/>
    </row>
    <row r="57" spans="1:13" s="662" customFormat="1" x14ac:dyDescent="0.2">
      <c r="A57" s="567"/>
      <c r="B57" s="568"/>
      <c r="C57" s="569" t="s">
        <v>46</v>
      </c>
      <c r="D57" s="653"/>
      <c r="F57" s="575">
        <v>13</v>
      </c>
      <c r="G57" s="663"/>
      <c r="H57" s="573"/>
      <c r="L57" s="581" t="s">
        <v>149</v>
      </c>
      <c r="M57" s="663"/>
    </row>
    <row r="58" spans="1:13" s="662" customFormat="1" x14ac:dyDescent="0.2">
      <c r="A58" s="567" t="s">
        <v>252</v>
      </c>
      <c r="B58" s="653" t="s">
        <v>60</v>
      </c>
      <c r="C58" s="571">
        <v>12</v>
      </c>
      <c r="E58" s="572"/>
      <c r="F58" s="663"/>
      <c r="G58" s="663"/>
      <c r="H58" s="573"/>
    </row>
    <row r="59" spans="1:13" s="662" customFormat="1" x14ac:dyDescent="0.2">
      <c r="A59" s="567"/>
      <c r="D59" s="663"/>
      <c r="E59" s="573"/>
      <c r="F59" s="653" t="s">
        <v>46</v>
      </c>
      <c r="G59" s="653"/>
      <c r="H59" s="577"/>
      <c r="I59" s="661">
        <v>11</v>
      </c>
    </row>
    <row r="60" spans="1:13" s="662" customFormat="1" x14ac:dyDescent="0.2">
      <c r="A60" s="567" t="s">
        <v>376</v>
      </c>
      <c r="B60" s="662" t="s">
        <v>48</v>
      </c>
      <c r="C60" s="575">
        <v>13</v>
      </c>
      <c r="E60" s="573"/>
      <c r="F60" s="603"/>
      <c r="G60" s="663"/>
      <c r="H60" s="663"/>
    </row>
    <row r="61" spans="1:13" s="662" customFormat="1" x14ac:dyDescent="0.2">
      <c r="A61" s="567"/>
      <c r="B61" s="568"/>
      <c r="C61" s="603" t="s">
        <v>48</v>
      </c>
      <c r="E61" s="577"/>
      <c r="F61" s="575">
        <v>4</v>
      </c>
      <c r="I61" s="662" t="s">
        <v>51</v>
      </c>
      <c r="K61" s="575">
        <v>7</v>
      </c>
    </row>
    <row r="62" spans="1:13" s="662" customFormat="1" ht="13.5" thickBot="1" x14ac:dyDescent="0.25">
      <c r="A62" s="567"/>
      <c r="B62" s="705" t="s">
        <v>147</v>
      </c>
      <c r="C62" s="578">
        <v>0</v>
      </c>
      <c r="D62" s="568"/>
      <c r="F62" s="663"/>
      <c r="G62" s="663"/>
      <c r="H62" s="663"/>
      <c r="I62" s="568"/>
      <c r="J62" s="572"/>
      <c r="K62" s="602"/>
      <c r="L62" s="602" t="s">
        <v>46</v>
      </c>
      <c r="M62" s="602"/>
    </row>
    <row r="63" spans="1:13" s="662" customFormat="1" x14ac:dyDescent="0.2">
      <c r="H63" s="663"/>
      <c r="I63" s="653" t="s">
        <v>46</v>
      </c>
      <c r="J63" s="577"/>
      <c r="K63" s="566">
        <v>13</v>
      </c>
      <c r="L63" s="584" t="s">
        <v>150</v>
      </c>
      <c r="M63" s="663"/>
    </row>
    <row r="64" spans="1:13" s="662" customFormat="1" x14ac:dyDescent="0.2">
      <c r="H64" s="663"/>
      <c r="L64" s="663"/>
      <c r="M64" s="663"/>
    </row>
    <row r="65" spans="1:13" s="662" customFormat="1" ht="13.5" thickBot="1" x14ac:dyDescent="0.25">
      <c r="H65" s="663"/>
      <c r="I65" s="663"/>
      <c r="J65" s="663"/>
      <c r="L65" s="602" t="s">
        <v>51</v>
      </c>
      <c r="M65" s="602"/>
    </row>
    <row r="66" spans="1:13" s="662" customFormat="1" x14ac:dyDescent="0.2">
      <c r="I66" s="663"/>
      <c r="J66" s="663"/>
      <c r="L66" s="579" t="s">
        <v>151</v>
      </c>
    </row>
    <row r="67" spans="1:13" s="662" customFormat="1" x14ac:dyDescent="0.2">
      <c r="I67" s="663"/>
      <c r="J67" s="663"/>
      <c r="L67" s="579"/>
    </row>
    <row r="68" spans="1:13" s="662" customFormat="1" x14ac:dyDescent="0.2">
      <c r="A68" s="585" t="s">
        <v>279</v>
      </c>
      <c r="I68" s="663"/>
      <c r="J68" s="663"/>
      <c r="L68" s="579"/>
    </row>
    <row r="69" spans="1:13" s="662" customFormat="1" x14ac:dyDescent="0.2">
      <c r="A69" s="585"/>
      <c r="I69" s="663"/>
      <c r="J69" s="663"/>
      <c r="L69" s="579"/>
    </row>
    <row r="70" spans="1:13" s="662" customFormat="1" x14ac:dyDescent="0.2">
      <c r="F70" s="586" t="s">
        <v>50</v>
      </c>
      <c r="G70" s="566"/>
      <c r="H70" s="566"/>
      <c r="I70" s="566">
        <v>13</v>
      </c>
      <c r="J70" s="566"/>
      <c r="K70" s="566"/>
    </row>
    <row r="71" spans="1:13" s="662" customFormat="1" x14ac:dyDescent="0.2">
      <c r="F71" s="587"/>
      <c r="G71" s="587"/>
      <c r="H71" s="588"/>
      <c r="I71" s="621" t="s">
        <v>50</v>
      </c>
      <c r="J71" s="566"/>
      <c r="K71" s="566">
        <v>0</v>
      </c>
    </row>
    <row r="72" spans="1:13" s="662" customFormat="1" x14ac:dyDescent="0.2">
      <c r="F72" s="621" t="s">
        <v>65</v>
      </c>
      <c r="G72" s="621"/>
      <c r="H72" s="590"/>
      <c r="I72" s="566">
        <v>4</v>
      </c>
      <c r="J72" s="588"/>
      <c r="K72" s="566"/>
    </row>
    <row r="73" spans="1:13" s="662" customFormat="1" ht="13.5" thickBot="1" x14ac:dyDescent="0.25">
      <c r="F73" s="566"/>
      <c r="G73" s="566"/>
      <c r="H73" s="566"/>
      <c r="I73" s="575"/>
      <c r="J73" s="591"/>
      <c r="K73" s="566"/>
      <c r="L73" s="704" t="s">
        <v>48</v>
      </c>
    </row>
    <row r="74" spans="1:13" s="662" customFormat="1" x14ac:dyDescent="0.2">
      <c r="F74" s="566" t="s">
        <v>15</v>
      </c>
      <c r="G74" s="566"/>
      <c r="H74" s="566"/>
      <c r="I74" s="566">
        <v>7</v>
      </c>
      <c r="J74" s="591"/>
      <c r="K74" s="592"/>
      <c r="L74" s="581" t="s">
        <v>152</v>
      </c>
      <c r="M74" s="582"/>
    </row>
    <row r="75" spans="1:13" s="662" customFormat="1" x14ac:dyDescent="0.2">
      <c r="F75" s="587"/>
      <c r="G75" s="587"/>
      <c r="H75" s="588"/>
      <c r="I75" s="566" t="s">
        <v>48</v>
      </c>
      <c r="J75" s="590"/>
      <c r="K75" s="575">
        <v>13</v>
      </c>
    </row>
    <row r="76" spans="1:13" s="662" customFormat="1" ht="13.5" thickBot="1" x14ac:dyDescent="0.25">
      <c r="F76" s="621" t="s">
        <v>48</v>
      </c>
      <c r="G76" s="621"/>
      <c r="H76" s="590"/>
      <c r="I76" s="587">
        <v>13</v>
      </c>
      <c r="J76" s="566"/>
      <c r="K76" s="575"/>
      <c r="L76" s="663" t="s">
        <v>50</v>
      </c>
      <c r="M76" s="602"/>
    </row>
    <row r="77" spans="1:13" s="662" customFormat="1" x14ac:dyDescent="0.2">
      <c r="F77" s="566"/>
      <c r="G77" s="566"/>
      <c r="H77" s="566"/>
      <c r="I77" s="566"/>
      <c r="J77" s="566"/>
      <c r="K77" s="575"/>
      <c r="L77" s="581" t="s">
        <v>153</v>
      </c>
      <c r="M77" s="663"/>
    </row>
    <row r="78" spans="1:13" s="662" customFormat="1" x14ac:dyDescent="0.2">
      <c r="F78" s="566"/>
      <c r="G78" s="566"/>
      <c r="H78" s="575"/>
      <c r="I78" s="566" t="s">
        <v>65</v>
      </c>
      <c r="J78" s="566"/>
      <c r="K78" s="575">
        <v>9</v>
      </c>
      <c r="L78" s="663"/>
      <c r="M78" s="663"/>
    </row>
    <row r="79" spans="1:13" s="662" customFormat="1" ht="13.5" thickBot="1" x14ac:dyDescent="0.25">
      <c r="F79" s="566"/>
      <c r="G79" s="566"/>
      <c r="H79" s="575"/>
      <c r="I79" s="587"/>
      <c r="J79" s="588"/>
      <c r="K79" s="593"/>
      <c r="L79" s="602" t="s">
        <v>15</v>
      </c>
      <c r="M79" s="602"/>
    </row>
    <row r="80" spans="1:13" s="662" customFormat="1" x14ac:dyDescent="0.2">
      <c r="F80" s="566"/>
      <c r="G80" s="566"/>
      <c r="H80" s="575"/>
      <c r="I80" s="621"/>
      <c r="J80" s="590" t="s">
        <v>15</v>
      </c>
      <c r="K80" s="566">
        <v>13</v>
      </c>
      <c r="L80" s="584" t="s">
        <v>154</v>
      </c>
      <c r="M80" s="663"/>
    </row>
    <row r="81" spans="1:13" s="662" customFormat="1" x14ac:dyDescent="0.2">
      <c r="H81" s="663"/>
      <c r="L81" s="663"/>
      <c r="M81" s="663"/>
    </row>
    <row r="82" spans="1:13" s="662" customFormat="1" ht="13.5" thickBot="1" x14ac:dyDescent="0.25">
      <c r="F82" s="579"/>
      <c r="I82" s="663"/>
      <c r="J82" s="663"/>
      <c r="L82" s="602" t="s">
        <v>65</v>
      </c>
      <c r="M82" s="602"/>
    </row>
    <row r="83" spans="1:13" s="662" customFormat="1" x14ac:dyDescent="0.2">
      <c r="F83" s="579"/>
      <c r="I83" s="663"/>
      <c r="J83" s="663"/>
      <c r="L83" s="584" t="s">
        <v>155</v>
      </c>
    </row>
    <row r="84" spans="1:13" s="662" customFormat="1" x14ac:dyDescent="0.2">
      <c r="F84" s="579"/>
      <c r="I84" s="663"/>
      <c r="J84" s="663"/>
      <c r="L84" s="584"/>
    </row>
    <row r="85" spans="1:13" s="662" customFormat="1" x14ac:dyDescent="0.2">
      <c r="A85" s="594" t="s">
        <v>182</v>
      </c>
    </row>
    <row r="86" spans="1:13" s="662" customFormat="1" x14ac:dyDescent="0.2">
      <c r="A86" s="594"/>
    </row>
    <row r="87" spans="1:13" s="662" customFormat="1" x14ac:dyDescent="0.2">
      <c r="B87" s="663"/>
      <c r="C87" s="575"/>
      <c r="D87" s="663"/>
      <c r="E87" s="663"/>
      <c r="F87" s="663" t="s">
        <v>47</v>
      </c>
      <c r="I87" s="566">
        <v>13</v>
      </c>
    </row>
    <row r="88" spans="1:13" s="662" customFormat="1" x14ac:dyDescent="0.2">
      <c r="B88" s="663"/>
      <c r="C88" s="663"/>
      <c r="D88" s="663"/>
      <c r="E88" s="663"/>
      <c r="F88" s="568"/>
      <c r="G88" s="568"/>
      <c r="H88" s="572"/>
      <c r="I88" s="603" t="s">
        <v>47</v>
      </c>
      <c r="K88" s="566">
        <v>3</v>
      </c>
    </row>
    <row r="89" spans="1:13" s="662" customFormat="1" x14ac:dyDescent="0.2">
      <c r="B89" s="663"/>
      <c r="E89" s="663"/>
      <c r="F89" s="653" t="s">
        <v>339</v>
      </c>
      <c r="G89" s="653"/>
      <c r="H89" s="577"/>
      <c r="I89" s="578">
        <v>4</v>
      </c>
      <c r="J89" s="572"/>
    </row>
    <row r="90" spans="1:13" s="662" customFormat="1" ht="13.5" thickBot="1" x14ac:dyDescent="0.25">
      <c r="E90" s="663"/>
      <c r="F90" s="566"/>
      <c r="J90" s="573"/>
      <c r="L90" s="662" t="s">
        <v>55</v>
      </c>
    </row>
    <row r="91" spans="1:13" s="662" customFormat="1" x14ac:dyDescent="0.2">
      <c r="E91" s="663"/>
      <c r="F91" s="663" t="s">
        <v>55</v>
      </c>
      <c r="I91" s="566">
        <v>13</v>
      </c>
      <c r="J91" s="573"/>
      <c r="K91" s="582"/>
      <c r="L91" s="581" t="s">
        <v>156</v>
      </c>
      <c r="M91" s="582"/>
    </row>
    <row r="92" spans="1:13" s="662" customFormat="1" x14ac:dyDescent="0.2">
      <c r="E92" s="663"/>
      <c r="F92" s="568"/>
      <c r="G92" s="568"/>
      <c r="H92" s="572"/>
      <c r="I92" s="603" t="s">
        <v>55</v>
      </c>
      <c r="J92" s="577"/>
      <c r="K92" s="566">
        <v>13</v>
      </c>
    </row>
    <row r="93" spans="1:13" s="662" customFormat="1" ht="13.5" thickBot="1" x14ac:dyDescent="0.25">
      <c r="E93" s="663"/>
      <c r="F93" s="653" t="s">
        <v>60</v>
      </c>
      <c r="G93" s="653"/>
      <c r="H93" s="577"/>
      <c r="I93" s="578">
        <v>3</v>
      </c>
      <c r="J93" s="663"/>
      <c r="L93" s="708" t="s">
        <v>47</v>
      </c>
      <c r="M93" s="602"/>
    </row>
    <row r="94" spans="1:13" s="662" customFormat="1" x14ac:dyDescent="0.2">
      <c r="E94" s="663"/>
      <c r="F94" s="575"/>
      <c r="I94" s="663"/>
      <c r="J94" s="663"/>
      <c r="L94" s="581" t="s">
        <v>157</v>
      </c>
    </row>
    <row r="95" spans="1:13" s="662" customFormat="1" x14ac:dyDescent="0.2">
      <c r="E95" s="663"/>
      <c r="F95" s="663"/>
      <c r="G95" s="663"/>
      <c r="H95" s="663"/>
      <c r="I95" s="662" t="s">
        <v>339</v>
      </c>
      <c r="K95" s="575">
        <v>0</v>
      </c>
    </row>
    <row r="96" spans="1:13" s="662" customFormat="1" ht="13.5" thickBot="1" x14ac:dyDescent="0.25">
      <c r="F96" s="663"/>
      <c r="G96" s="663"/>
      <c r="H96" s="663"/>
      <c r="I96" s="568"/>
      <c r="J96" s="572"/>
      <c r="K96" s="602"/>
      <c r="L96" s="706" t="s">
        <v>60</v>
      </c>
      <c r="M96" s="602"/>
    </row>
    <row r="97" spans="1:13" s="662" customFormat="1" x14ac:dyDescent="0.2">
      <c r="F97" s="663"/>
      <c r="G97" s="663"/>
      <c r="H97" s="663"/>
      <c r="I97" s="653" t="s">
        <v>60</v>
      </c>
      <c r="J97" s="577"/>
      <c r="K97" s="566">
        <v>13</v>
      </c>
      <c r="L97" s="584" t="s">
        <v>158</v>
      </c>
      <c r="M97" s="663"/>
    </row>
    <row r="98" spans="1:13" s="662" customFormat="1" x14ac:dyDescent="0.2">
      <c r="F98" s="575"/>
      <c r="G98" s="663"/>
      <c r="H98" s="663"/>
      <c r="L98" s="663"/>
      <c r="M98" s="663"/>
    </row>
    <row r="99" spans="1:13" s="662" customFormat="1" ht="13.5" thickBot="1" x14ac:dyDescent="0.25">
      <c r="F99" s="663"/>
      <c r="G99" s="663"/>
      <c r="H99" s="663"/>
      <c r="I99" s="663"/>
      <c r="J99" s="663"/>
      <c r="L99" s="706" t="s">
        <v>339</v>
      </c>
      <c r="M99" s="602"/>
    </row>
    <row r="100" spans="1:13" s="662" customFormat="1" x14ac:dyDescent="0.2">
      <c r="F100" s="663"/>
      <c r="G100" s="663"/>
      <c r="H100" s="663"/>
      <c r="I100" s="663"/>
      <c r="J100" s="663"/>
      <c r="L100" s="579" t="s">
        <v>159</v>
      </c>
    </row>
    <row r="101" spans="1:13" s="662" customFormat="1" x14ac:dyDescent="0.2"/>
    <row r="102" spans="1:13" s="662" customFormat="1" x14ac:dyDescent="0.2">
      <c r="A102" s="585" t="s">
        <v>450</v>
      </c>
    </row>
    <row r="103" spans="1:13" s="662" customFormat="1" x14ac:dyDescent="0.2">
      <c r="A103" s="585"/>
    </row>
    <row r="104" spans="1:13" s="31" customFormat="1" x14ac:dyDescent="0.2">
      <c r="A104" s="342"/>
      <c r="B104" s="342" t="s">
        <v>255</v>
      </c>
      <c r="C104" s="31" t="s">
        <v>53</v>
      </c>
      <c r="F104" s="343">
        <v>13</v>
      </c>
    </row>
    <row r="105" spans="1:13" s="31" customFormat="1" x14ac:dyDescent="0.2">
      <c r="A105" s="344"/>
      <c r="B105" s="342"/>
      <c r="C105" s="345"/>
      <c r="D105" s="345"/>
      <c r="E105" s="350"/>
      <c r="F105" s="346" t="s">
        <v>53</v>
      </c>
      <c r="G105" s="347"/>
      <c r="I105" s="343">
        <v>13</v>
      </c>
    </row>
    <row r="106" spans="1:13" s="31" customFormat="1" x14ac:dyDescent="0.2">
      <c r="A106" s="342"/>
      <c r="B106" s="342" t="s">
        <v>380</v>
      </c>
      <c r="C106" s="347" t="s">
        <v>349</v>
      </c>
      <c r="D106" s="347"/>
      <c r="E106" s="348"/>
      <c r="F106" s="349"/>
      <c r="H106" s="350"/>
    </row>
    <row r="107" spans="1:13" s="31" customFormat="1" x14ac:dyDescent="0.2">
      <c r="A107" s="344"/>
      <c r="B107" s="342"/>
      <c r="G107" s="351"/>
      <c r="H107" s="352"/>
      <c r="I107" s="31" t="s">
        <v>53</v>
      </c>
      <c r="K107" s="343">
        <v>10</v>
      </c>
    </row>
    <row r="108" spans="1:13" s="31" customFormat="1" x14ac:dyDescent="0.2">
      <c r="A108" s="342"/>
      <c r="B108" s="342" t="s">
        <v>264</v>
      </c>
      <c r="C108" s="31" t="s">
        <v>54</v>
      </c>
      <c r="E108" s="598"/>
      <c r="F108" s="354"/>
      <c r="H108" s="352"/>
      <c r="I108" s="345"/>
      <c r="J108" s="350"/>
    </row>
    <row r="109" spans="1:13" s="31" customFormat="1" x14ac:dyDescent="0.2">
      <c r="A109" s="344"/>
      <c r="B109" s="342"/>
      <c r="C109" s="345"/>
      <c r="D109" s="345"/>
      <c r="E109" s="350"/>
      <c r="F109" s="355" t="s">
        <v>81</v>
      </c>
      <c r="H109" s="356"/>
      <c r="I109" s="354">
        <v>9</v>
      </c>
      <c r="J109" s="352"/>
    </row>
    <row r="110" spans="1:13" s="31" customFormat="1" x14ac:dyDescent="0.2">
      <c r="A110" s="342"/>
      <c r="B110" s="342" t="s">
        <v>379</v>
      </c>
      <c r="C110" s="347" t="s">
        <v>81</v>
      </c>
      <c r="D110" s="347"/>
      <c r="E110" s="348"/>
      <c r="F110" s="357">
        <v>13</v>
      </c>
      <c r="G110" s="345"/>
      <c r="I110" s="351"/>
      <c r="J110" s="352"/>
    </row>
    <row r="111" spans="1:13" s="31" customFormat="1" ht="13.5" thickBot="1" x14ac:dyDescent="0.25">
      <c r="A111" s="344"/>
      <c r="B111" s="342"/>
      <c r="I111" s="351"/>
      <c r="J111" s="352"/>
      <c r="L111" s="31" t="s">
        <v>44</v>
      </c>
    </row>
    <row r="112" spans="1:13" s="31" customFormat="1" x14ac:dyDescent="0.2">
      <c r="A112" s="342"/>
      <c r="B112" s="342" t="s">
        <v>267</v>
      </c>
      <c r="C112" s="31" t="s">
        <v>56</v>
      </c>
      <c r="F112" s="343">
        <v>7</v>
      </c>
      <c r="I112" s="351"/>
      <c r="J112" s="352"/>
      <c r="K112" s="358"/>
      <c r="L112" s="359" t="s">
        <v>160</v>
      </c>
      <c r="M112" s="360"/>
    </row>
    <row r="113" spans="1:13" s="31" customFormat="1" x14ac:dyDescent="0.2">
      <c r="A113" s="344"/>
      <c r="B113" s="342"/>
      <c r="C113" s="345"/>
      <c r="D113" s="345"/>
      <c r="E113" s="350"/>
      <c r="F113" s="346" t="s">
        <v>44</v>
      </c>
      <c r="G113" s="347"/>
      <c r="I113" s="354">
        <v>13</v>
      </c>
      <c r="J113" s="352"/>
    </row>
    <row r="114" spans="1:13" s="31" customFormat="1" ht="13.5" thickBot="1" x14ac:dyDescent="0.25">
      <c r="A114" s="342"/>
      <c r="B114" s="342" t="s">
        <v>280</v>
      </c>
      <c r="C114" s="347" t="s">
        <v>44</v>
      </c>
      <c r="D114" s="347"/>
      <c r="E114" s="356"/>
      <c r="F114" s="349">
        <v>13</v>
      </c>
      <c r="H114" s="350"/>
      <c r="I114" s="351"/>
      <c r="J114" s="352"/>
      <c r="L114" s="361" t="s">
        <v>53</v>
      </c>
      <c r="M114" s="361"/>
    </row>
    <row r="115" spans="1:13" s="31" customFormat="1" x14ac:dyDescent="0.2">
      <c r="A115" s="344"/>
      <c r="B115" s="342"/>
      <c r="G115" s="351"/>
      <c r="H115" s="352"/>
      <c r="I115" s="347" t="s">
        <v>44</v>
      </c>
      <c r="J115" s="356"/>
      <c r="K115" s="343">
        <v>13</v>
      </c>
      <c r="L115" s="359" t="s">
        <v>161</v>
      </c>
    </row>
    <row r="116" spans="1:13" s="31" customFormat="1" x14ac:dyDescent="0.2">
      <c r="A116" s="342"/>
      <c r="B116" s="342" t="s">
        <v>268</v>
      </c>
      <c r="C116" s="31" t="s">
        <v>347</v>
      </c>
      <c r="F116" s="354">
        <v>13</v>
      </c>
      <c r="H116" s="352"/>
    </row>
    <row r="117" spans="1:13" s="31" customFormat="1" x14ac:dyDescent="0.2">
      <c r="A117" s="344"/>
      <c r="B117" s="342"/>
      <c r="C117" s="345"/>
      <c r="D117" s="345"/>
      <c r="E117" s="350"/>
      <c r="F117" s="355" t="s">
        <v>347</v>
      </c>
      <c r="H117" s="356"/>
      <c r="I117" s="343">
        <v>4</v>
      </c>
    </row>
    <row r="118" spans="1:13" s="31" customFormat="1" x14ac:dyDescent="0.2">
      <c r="A118" s="342"/>
      <c r="B118" s="342"/>
      <c r="C118" s="347" t="s">
        <v>147</v>
      </c>
      <c r="D118" s="347"/>
      <c r="E118" s="356"/>
      <c r="F118" s="357">
        <v>0</v>
      </c>
      <c r="G118" s="345"/>
    </row>
    <row r="119" spans="1:13" s="31" customFormat="1" x14ac:dyDescent="0.2">
      <c r="I119" s="31" t="s">
        <v>81</v>
      </c>
      <c r="K119" s="354">
        <v>6</v>
      </c>
      <c r="L119" s="351"/>
      <c r="M119" s="351"/>
    </row>
    <row r="120" spans="1:13" s="31" customFormat="1" ht="13.5" thickBot="1" x14ac:dyDescent="0.25">
      <c r="I120" s="345"/>
      <c r="J120" s="350"/>
      <c r="K120" s="361"/>
      <c r="L120" s="361" t="s">
        <v>347</v>
      </c>
      <c r="M120" s="361"/>
    </row>
    <row r="121" spans="1:13" s="31" customFormat="1" x14ac:dyDescent="0.2">
      <c r="I121" s="347" t="s">
        <v>347</v>
      </c>
      <c r="J121" s="356"/>
      <c r="K121" s="343">
        <v>13</v>
      </c>
      <c r="L121" s="362" t="s">
        <v>162</v>
      </c>
      <c r="M121" s="351"/>
    </row>
    <row r="122" spans="1:13" s="31" customFormat="1" x14ac:dyDescent="0.2">
      <c r="L122" s="351"/>
      <c r="M122" s="351"/>
    </row>
    <row r="123" spans="1:13" s="31" customFormat="1" ht="13.5" thickBot="1" x14ac:dyDescent="0.25">
      <c r="J123" s="351"/>
      <c r="L123" s="361" t="s">
        <v>81</v>
      </c>
      <c r="M123" s="361"/>
    </row>
    <row r="124" spans="1:13" s="31" customFormat="1" x14ac:dyDescent="0.2">
      <c r="F124" s="31" t="s">
        <v>349</v>
      </c>
      <c r="I124" s="343" t="s">
        <v>147</v>
      </c>
      <c r="L124" s="363" t="s">
        <v>163</v>
      </c>
    </row>
    <row r="125" spans="1:13" s="31" customFormat="1" x14ac:dyDescent="0.2">
      <c r="F125" s="345"/>
      <c r="G125" s="345"/>
      <c r="H125" s="350"/>
      <c r="I125" s="346"/>
      <c r="J125" s="347"/>
      <c r="K125" s="343">
        <v>0</v>
      </c>
    </row>
    <row r="126" spans="1:13" s="31" customFormat="1" x14ac:dyDescent="0.2">
      <c r="F126" s="347" t="s">
        <v>54</v>
      </c>
      <c r="G126" s="347"/>
      <c r="H126" s="356"/>
      <c r="I126" s="349" t="s">
        <v>147</v>
      </c>
      <c r="J126" s="352"/>
    </row>
    <row r="127" spans="1:13" s="31" customFormat="1" ht="13.5" thickBot="1" x14ac:dyDescent="0.25">
      <c r="I127" s="351"/>
      <c r="J127" s="352"/>
      <c r="L127" s="31" t="s">
        <v>56</v>
      </c>
    </row>
    <row r="128" spans="1:13" s="31" customFormat="1" x14ac:dyDescent="0.2">
      <c r="F128" s="31" t="s">
        <v>56</v>
      </c>
      <c r="I128" s="354">
        <v>13</v>
      </c>
      <c r="J128" s="352"/>
      <c r="K128" s="358"/>
      <c r="L128" s="359" t="s">
        <v>164</v>
      </c>
      <c r="M128" s="360"/>
    </row>
    <row r="129" spans="1:13" s="31" customFormat="1" x14ac:dyDescent="0.2">
      <c r="F129" s="345"/>
      <c r="G129" s="345"/>
      <c r="H129" s="350"/>
      <c r="I129" s="355" t="s">
        <v>56</v>
      </c>
      <c r="J129" s="356"/>
      <c r="K129" s="354">
        <v>13</v>
      </c>
    </row>
    <row r="130" spans="1:13" s="31" customFormat="1" ht="13.5" thickBot="1" x14ac:dyDescent="0.25">
      <c r="F130" s="347" t="s">
        <v>147</v>
      </c>
      <c r="G130" s="347"/>
      <c r="H130" s="356"/>
      <c r="I130" s="357">
        <v>0</v>
      </c>
      <c r="K130" s="351"/>
      <c r="L130" s="351" t="s">
        <v>349</v>
      </c>
      <c r="M130" s="361"/>
    </row>
    <row r="131" spans="1:13" s="31" customFormat="1" x14ac:dyDescent="0.2">
      <c r="K131" s="351"/>
      <c r="L131" s="359" t="s">
        <v>165</v>
      </c>
      <c r="M131" s="351"/>
    </row>
    <row r="132" spans="1:13" s="31" customFormat="1" x14ac:dyDescent="0.2">
      <c r="I132" s="12"/>
      <c r="J132" s="12"/>
      <c r="K132" s="12"/>
      <c r="L132" s="351"/>
      <c r="M132" s="351"/>
    </row>
    <row r="133" spans="1:13" s="31" customFormat="1" ht="13.5" thickBot="1" x14ac:dyDescent="0.25">
      <c r="I133" s="12"/>
      <c r="J133" s="12"/>
      <c r="K133" s="12"/>
      <c r="L133" s="361" t="s">
        <v>54</v>
      </c>
      <c r="M133" s="361"/>
    </row>
    <row r="134" spans="1:13" s="31" customFormat="1" x14ac:dyDescent="0.2">
      <c r="I134" s="12"/>
      <c r="J134" s="12"/>
      <c r="K134" s="12"/>
      <c r="L134" s="362" t="s">
        <v>165</v>
      </c>
      <c r="M134" s="351"/>
    </row>
    <row r="135" spans="1:13" s="31" customFormat="1" x14ac:dyDescent="0.2">
      <c r="L135" s="351"/>
      <c r="M135" s="351"/>
    </row>
    <row r="136" spans="1:13" x14ac:dyDescent="0.2">
      <c r="A136" s="30">
        <v>1</v>
      </c>
      <c r="B136" s="32" t="s">
        <v>49</v>
      </c>
      <c r="C136" s="34"/>
      <c r="D136" s="34"/>
      <c r="E136" s="34"/>
      <c r="F136" s="34"/>
    </row>
    <row r="137" spans="1:13" x14ac:dyDescent="0.2">
      <c r="A137" s="30">
        <v>2</v>
      </c>
      <c r="B137" s="202" t="s">
        <v>45</v>
      </c>
    </row>
    <row r="138" spans="1:13" x14ac:dyDescent="0.2">
      <c r="A138" s="30">
        <v>3</v>
      </c>
      <c r="B138" s="203" t="s">
        <v>46</v>
      </c>
    </row>
    <row r="139" spans="1:13" x14ac:dyDescent="0.2">
      <c r="A139" s="30">
        <v>4</v>
      </c>
      <c r="B139" s="201" t="s">
        <v>51</v>
      </c>
    </row>
    <row r="140" spans="1:13" x14ac:dyDescent="0.2">
      <c r="A140" s="30">
        <v>5</v>
      </c>
      <c r="B140" s="201" t="s">
        <v>48</v>
      </c>
    </row>
    <row r="141" spans="1:13" x14ac:dyDescent="0.2">
      <c r="A141" s="30">
        <v>6</v>
      </c>
      <c r="B141" s="201" t="s">
        <v>50</v>
      </c>
    </row>
    <row r="142" spans="1:13" x14ac:dyDescent="0.2">
      <c r="A142" s="30">
        <v>7</v>
      </c>
      <c r="B142" s="201" t="s">
        <v>15</v>
      </c>
    </row>
    <row r="143" spans="1:13" x14ac:dyDescent="0.2">
      <c r="A143" s="30">
        <v>8</v>
      </c>
      <c r="B143" s="201" t="s">
        <v>65</v>
      </c>
    </row>
    <row r="144" spans="1:13" x14ac:dyDescent="0.2">
      <c r="A144" s="30">
        <v>9</v>
      </c>
      <c r="B144" s="201" t="s">
        <v>55</v>
      </c>
    </row>
    <row r="145" spans="1:2" x14ac:dyDescent="0.2">
      <c r="A145" s="30">
        <v>10</v>
      </c>
      <c r="B145" s="201" t="s">
        <v>47</v>
      </c>
    </row>
    <row r="146" spans="1:2" x14ac:dyDescent="0.2">
      <c r="A146" s="30">
        <v>11</v>
      </c>
      <c r="B146" s="201" t="s">
        <v>60</v>
      </c>
    </row>
    <row r="147" spans="1:2" x14ac:dyDescent="0.2">
      <c r="A147" s="30">
        <v>12</v>
      </c>
      <c r="B147" s="694" t="s">
        <v>339</v>
      </c>
    </row>
    <row r="148" spans="1:2" x14ac:dyDescent="0.2">
      <c r="A148" s="30">
        <v>13</v>
      </c>
      <c r="B148" s="694" t="s">
        <v>44</v>
      </c>
    </row>
    <row r="149" spans="1:2" x14ac:dyDescent="0.2">
      <c r="A149" s="30">
        <v>14</v>
      </c>
      <c r="B149" s="694" t="s">
        <v>53</v>
      </c>
    </row>
    <row r="150" spans="1:2" x14ac:dyDescent="0.2">
      <c r="A150" s="30">
        <v>15</v>
      </c>
      <c r="B150" s="694" t="s">
        <v>347</v>
      </c>
    </row>
    <row r="151" spans="1:2" x14ac:dyDescent="0.2">
      <c r="A151" s="30">
        <v>16</v>
      </c>
      <c r="B151" s="694" t="s">
        <v>81</v>
      </c>
    </row>
    <row r="152" spans="1:2" x14ac:dyDescent="0.2">
      <c r="A152" s="30">
        <v>17</v>
      </c>
      <c r="B152" s="694" t="s">
        <v>56</v>
      </c>
    </row>
    <row r="153" spans="1:2" x14ac:dyDescent="0.2">
      <c r="A153" s="30">
        <v>18</v>
      </c>
      <c r="B153" s="694" t="s">
        <v>349</v>
      </c>
    </row>
    <row r="154" spans="1:2" x14ac:dyDescent="0.2">
      <c r="A154" s="30">
        <v>18</v>
      </c>
      <c r="B154" s="694" t="s">
        <v>54</v>
      </c>
    </row>
  </sheetData>
  <conditionalFormatting sqref="C23:I23 C18:H22 C24:H28 K23:N23 C7:N8 C10:N12 C9:I9 K9:N9 C14:N17 C13:I13 K13:N13 C29:I30 K29:N30 C31:N118">
    <cfRule type="cellIs" dxfId="106" priority="9" stopIfTrue="1" operator="equal">
      <formula>13</formula>
    </cfRule>
  </conditionalFormatting>
  <conditionalFormatting sqref="I18:I22 K18:N22">
    <cfRule type="cellIs" dxfId="105" priority="8" stopIfTrue="1" operator="equal">
      <formula>13</formula>
    </cfRule>
  </conditionalFormatting>
  <conditionalFormatting sqref="I24:I28 K24:N28">
    <cfRule type="cellIs" dxfId="104" priority="7" stopIfTrue="1" operator="equal">
      <formula>13</formula>
    </cfRule>
  </conditionalFormatting>
  <conditionalFormatting sqref="B25">
    <cfRule type="cellIs" dxfId="103" priority="6" stopIfTrue="1" operator="equal">
      <formula>13</formula>
    </cfRule>
  </conditionalFormatting>
  <conditionalFormatting sqref="B21">
    <cfRule type="cellIs" dxfId="102" priority="5" stopIfTrue="1" operator="equal">
      <formula>13</formula>
    </cfRule>
  </conditionalFormatting>
  <conditionalFormatting sqref="J23 J29:J30">
    <cfRule type="cellIs" dxfId="101" priority="4" stopIfTrue="1" operator="equal">
      <formula>13</formula>
    </cfRule>
  </conditionalFormatting>
  <conditionalFormatting sqref="J18:J22">
    <cfRule type="cellIs" dxfId="100" priority="3" stopIfTrue="1" operator="equal">
      <formula>13</formula>
    </cfRule>
  </conditionalFormatting>
  <conditionalFormatting sqref="J24:J28">
    <cfRule type="cellIs" dxfId="99" priority="2" stopIfTrue="1" operator="equal">
      <formula>13</formula>
    </cfRule>
  </conditionalFormatting>
  <conditionalFormatting sqref="C119:N131 C132:H134 L132:N134">
    <cfRule type="cellIs" dxfId="98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3" manualBreakCount="3">
    <brk id="28" max="16383" man="1"/>
    <brk id="100" max="16383" man="1"/>
    <brk id="13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8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.28515625" style="104" customWidth="1"/>
    <col min="2" max="2" width="45.85546875" style="104" customWidth="1"/>
    <col min="3" max="3" width="7.28515625" style="104" customWidth="1"/>
    <col min="4" max="4" width="7.42578125" style="104" bestFit="1" customWidth="1"/>
    <col min="5" max="5" width="9.140625" style="104" bestFit="1" customWidth="1"/>
    <col min="6" max="6" width="6.7109375" style="104" bestFit="1" customWidth="1"/>
    <col min="7" max="7" width="5.140625" style="104" bestFit="1" customWidth="1"/>
    <col min="8" max="8" width="7.28515625" style="104" customWidth="1"/>
    <col min="9" max="9" width="3.85546875" style="104" customWidth="1"/>
    <col min="10" max="11" width="9.140625" style="104" customWidth="1"/>
    <col min="12" max="16384" width="9.140625" style="104"/>
  </cols>
  <sheetData>
    <row r="1" spans="1:11" x14ac:dyDescent="0.2">
      <c r="A1" s="45" t="str">
        <f>UPPER((Kalend!E29)&amp;" - "&amp;(Kalend!C29)&amp;" - "&amp;(Kalend!D29))</f>
        <v>9 - K-JÄRVE 15. MV - TRIO</v>
      </c>
      <c r="E1" s="297" t="str">
        <f>HYPERLINK("#Kalend!I1","Kalender")</f>
        <v>Kalender</v>
      </c>
      <c r="F1" s="478"/>
      <c r="G1" s="297" t="str">
        <f>HYPERLINK("#Reit!G1","Reiting")</f>
        <v>Reiting</v>
      </c>
      <c r="H1" s="478"/>
      <c r="I1" s="478"/>
    </row>
    <row r="2" spans="1:11" x14ac:dyDescent="0.2">
      <c r="A2" s="9" t="str">
        <f>"Toimumisaeg: "&amp;(Kalend!A29)&amp;" kell "&amp;(Kalend!B29)</f>
        <v>Toimumisaeg: N, 11.08.2016 kell 18:00</v>
      </c>
    </row>
    <row r="3" spans="1:11" x14ac:dyDescent="0.2">
      <c r="A3" s="9" t="str">
        <f>"Toimumiskoht: "&amp;(Kalend!F29)</f>
        <v>Toimumiskoht: K-Järve spordihoone</v>
      </c>
    </row>
    <row r="4" spans="1:11" x14ac:dyDescent="0.2">
      <c r="A4" s="9" t="str">
        <f>"Korraldaja: "&amp;(Kalend!G29)</f>
        <v>Korraldaja: K-Järve SHK, Ivar Viljaste</v>
      </c>
    </row>
    <row r="6" spans="1:11" x14ac:dyDescent="0.2">
      <c r="A6" s="534" t="s">
        <v>478</v>
      </c>
      <c r="C6" s="478"/>
      <c r="D6" s="478"/>
      <c r="E6" s="478"/>
      <c r="F6" s="478"/>
      <c r="G6" s="478"/>
      <c r="H6" s="478"/>
      <c r="I6" s="478"/>
      <c r="J6" s="478"/>
      <c r="K6" s="478"/>
    </row>
    <row r="7" spans="1:11" x14ac:dyDescent="0.2">
      <c r="A7" s="478"/>
      <c r="B7" s="478"/>
      <c r="C7" s="478"/>
      <c r="D7" s="478"/>
      <c r="E7" s="478"/>
      <c r="F7" s="478"/>
      <c r="G7" s="478"/>
      <c r="H7" s="478"/>
      <c r="I7" s="478"/>
      <c r="J7" s="478"/>
      <c r="K7" s="478"/>
    </row>
    <row r="8" spans="1:11" x14ac:dyDescent="0.2">
      <c r="A8" s="30" t="s">
        <v>271</v>
      </c>
      <c r="B8" s="30"/>
      <c r="C8" s="381" t="s">
        <v>272</v>
      </c>
      <c r="D8" s="381" t="s">
        <v>273</v>
      </c>
      <c r="E8" s="381" t="s">
        <v>274</v>
      </c>
      <c r="F8" s="381" t="s">
        <v>275</v>
      </c>
      <c r="G8" s="381" t="s">
        <v>86</v>
      </c>
      <c r="H8" s="478"/>
      <c r="I8" s="478"/>
      <c r="J8" s="478"/>
      <c r="K8" s="478"/>
    </row>
    <row r="9" spans="1:11" x14ac:dyDescent="0.2">
      <c r="A9" s="30">
        <v>1</v>
      </c>
      <c r="B9" s="733" t="s">
        <v>284</v>
      </c>
      <c r="C9" s="382">
        <v>13</v>
      </c>
      <c r="D9" s="382">
        <v>13</v>
      </c>
      <c r="E9" s="382"/>
      <c r="F9" s="382"/>
      <c r="G9" s="734" t="s">
        <v>259</v>
      </c>
      <c r="H9" s="478"/>
      <c r="I9" s="478"/>
      <c r="J9" s="478"/>
      <c r="K9" s="478"/>
    </row>
    <row r="10" spans="1:11" x14ac:dyDescent="0.2">
      <c r="A10" s="30">
        <v>2</v>
      </c>
      <c r="B10" s="693" t="s">
        <v>282</v>
      </c>
      <c r="C10" s="382">
        <v>11</v>
      </c>
      <c r="D10" s="382"/>
      <c r="E10" s="382">
        <v>13</v>
      </c>
      <c r="F10" s="382">
        <v>11</v>
      </c>
      <c r="G10" s="734" t="s">
        <v>260</v>
      </c>
      <c r="H10" s="478"/>
      <c r="I10" s="478"/>
      <c r="J10" s="478"/>
      <c r="K10" s="478"/>
    </row>
    <row r="11" spans="1:11" x14ac:dyDescent="0.2">
      <c r="A11" s="30">
        <v>3</v>
      </c>
      <c r="B11" s="693" t="s">
        <v>444</v>
      </c>
      <c r="C11" s="383">
        <v>13</v>
      </c>
      <c r="D11" s="382">
        <v>2</v>
      </c>
      <c r="E11" s="382"/>
      <c r="F11" s="382">
        <v>13</v>
      </c>
      <c r="G11" s="734" t="s">
        <v>146</v>
      </c>
      <c r="H11" s="478"/>
      <c r="I11" s="478"/>
      <c r="J11" s="478"/>
      <c r="K11" s="478"/>
    </row>
    <row r="12" spans="1:11" x14ac:dyDescent="0.2">
      <c r="A12" s="30">
        <v>4</v>
      </c>
      <c r="B12" s="694"/>
      <c r="C12" s="382">
        <v>0</v>
      </c>
      <c r="D12" s="382"/>
      <c r="E12" s="382">
        <v>0</v>
      </c>
      <c r="F12" s="382"/>
      <c r="G12" s="714"/>
      <c r="H12" s="478"/>
      <c r="I12" s="478"/>
      <c r="J12" s="478"/>
      <c r="K12" s="478"/>
    </row>
    <row r="13" spans="1:11" x14ac:dyDescent="0.2">
      <c r="A13" s="23"/>
      <c r="B13" s="8"/>
      <c r="C13" s="384"/>
      <c r="D13" s="384"/>
      <c r="E13" s="384"/>
      <c r="F13" s="275"/>
      <c r="G13" s="385"/>
      <c r="H13" s="478"/>
      <c r="I13" s="478"/>
      <c r="J13" s="478"/>
      <c r="K13" s="478"/>
    </row>
    <row r="14" spans="1:11" x14ac:dyDescent="0.2">
      <c r="A14" s="30" t="s">
        <v>276</v>
      </c>
      <c r="B14" s="30"/>
      <c r="C14" s="381" t="s">
        <v>272</v>
      </c>
      <c r="D14" s="381" t="s">
        <v>273</v>
      </c>
      <c r="E14" s="381" t="s">
        <v>274</v>
      </c>
      <c r="F14" s="381" t="s">
        <v>275</v>
      </c>
      <c r="G14" s="381" t="s">
        <v>86</v>
      </c>
      <c r="H14" s="478"/>
      <c r="I14" s="478"/>
      <c r="J14" s="478"/>
      <c r="K14" s="478"/>
    </row>
    <row r="15" spans="1:11" x14ac:dyDescent="0.2">
      <c r="A15" s="30">
        <v>1</v>
      </c>
      <c r="B15" s="733" t="s">
        <v>479</v>
      </c>
      <c r="C15" s="382">
        <v>13</v>
      </c>
      <c r="D15" s="382">
        <v>10</v>
      </c>
      <c r="E15" s="382"/>
      <c r="F15" s="382">
        <v>13</v>
      </c>
      <c r="G15" s="734" t="s">
        <v>146</v>
      </c>
      <c r="H15" s="478"/>
      <c r="I15" s="478"/>
      <c r="J15" s="478"/>
      <c r="K15" s="478"/>
    </row>
    <row r="16" spans="1:11" x14ac:dyDescent="0.2">
      <c r="A16" s="30">
        <v>2</v>
      </c>
      <c r="B16" s="733" t="s">
        <v>480</v>
      </c>
      <c r="C16" s="382">
        <v>6</v>
      </c>
      <c r="D16" s="382"/>
      <c r="E16" s="382">
        <v>13</v>
      </c>
      <c r="F16" s="382">
        <v>4</v>
      </c>
      <c r="G16" s="734" t="s">
        <v>260</v>
      </c>
      <c r="H16" s="478"/>
      <c r="I16" s="478"/>
      <c r="J16" s="478"/>
      <c r="K16" s="478"/>
    </row>
    <row r="17" spans="1:11" x14ac:dyDescent="0.2">
      <c r="A17" s="30">
        <v>3</v>
      </c>
      <c r="B17" s="733" t="s">
        <v>481</v>
      </c>
      <c r="C17" s="382">
        <v>13</v>
      </c>
      <c r="D17" s="382">
        <v>13</v>
      </c>
      <c r="E17" s="382"/>
      <c r="F17" s="382"/>
      <c r="G17" s="734" t="s">
        <v>259</v>
      </c>
      <c r="H17" s="478"/>
      <c r="I17" s="478"/>
      <c r="J17" s="478"/>
      <c r="K17" s="478"/>
    </row>
    <row r="18" spans="1:11" x14ac:dyDescent="0.2">
      <c r="A18" s="30">
        <v>4</v>
      </c>
      <c r="B18" s="671"/>
      <c r="C18" s="382">
        <v>0</v>
      </c>
      <c r="D18" s="382"/>
      <c r="E18" s="382">
        <v>0</v>
      </c>
      <c r="F18" s="382"/>
      <c r="G18" s="714"/>
      <c r="H18" s="478"/>
      <c r="I18" s="478"/>
      <c r="J18" s="478"/>
      <c r="K18" s="478"/>
    </row>
    <row r="19" spans="1:11" x14ac:dyDescent="0.2">
      <c r="A19" s="23"/>
      <c r="B19" s="8"/>
      <c r="C19" s="384"/>
      <c r="D19" s="384"/>
      <c r="E19" s="384"/>
      <c r="F19" s="275"/>
      <c r="G19" s="385"/>
      <c r="H19" s="478"/>
      <c r="I19" s="478"/>
      <c r="J19" s="478"/>
      <c r="K19" s="478"/>
    </row>
    <row r="20" spans="1:11" x14ac:dyDescent="0.2">
      <c r="A20" s="30" t="s">
        <v>299</v>
      </c>
      <c r="B20" s="30"/>
      <c r="C20" s="381" t="s">
        <v>272</v>
      </c>
      <c r="D20" s="381" t="s">
        <v>273</v>
      </c>
      <c r="E20" s="381" t="s">
        <v>274</v>
      </c>
      <c r="F20" s="381" t="s">
        <v>275</v>
      </c>
      <c r="G20" s="381" t="s">
        <v>86</v>
      </c>
      <c r="H20" s="478"/>
      <c r="I20" s="478"/>
      <c r="J20" s="478"/>
      <c r="K20" s="478"/>
    </row>
    <row r="21" spans="1:11" x14ac:dyDescent="0.2">
      <c r="A21" s="30">
        <v>1</v>
      </c>
      <c r="B21" s="693" t="s">
        <v>294</v>
      </c>
      <c r="C21" s="382">
        <v>13</v>
      </c>
      <c r="D21" s="382">
        <v>13</v>
      </c>
      <c r="E21" s="382"/>
      <c r="F21" s="382"/>
      <c r="G21" s="734" t="s">
        <v>259</v>
      </c>
      <c r="H21" s="478"/>
      <c r="I21" s="478"/>
      <c r="J21" s="478"/>
      <c r="K21" s="478"/>
    </row>
    <row r="22" spans="1:11" x14ac:dyDescent="0.2">
      <c r="A22" s="30">
        <v>2</v>
      </c>
      <c r="B22" s="733" t="s">
        <v>482</v>
      </c>
      <c r="C22" s="382">
        <v>8</v>
      </c>
      <c r="D22" s="382"/>
      <c r="E22" s="382">
        <v>13</v>
      </c>
      <c r="F22" s="382">
        <v>13</v>
      </c>
      <c r="G22" s="734" t="s">
        <v>146</v>
      </c>
      <c r="H22" s="478"/>
      <c r="I22" s="478"/>
      <c r="J22" s="478"/>
      <c r="K22" s="478"/>
    </row>
    <row r="23" spans="1:11" x14ac:dyDescent="0.2">
      <c r="A23" s="30">
        <v>3</v>
      </c>
      <c r="B23" s="874" t="s">
        <v>483</v>
      </c>
      <c r="C23" s="382">
        <v>13</v>
      </c>
      <c r="D23" s="382">
        <v>1</v>
      </c>
      <c r="E23" s="382"/>
      <c r="F23" s="382">
        <v>1</v>
      </c>
      <c r="G23" s="734" t="s">
        <v>260</v>
      </c>
      <c r="H23" s="478"/>
      <c r="I23" s="478"/>
      <c r="J23" s="478"/>
      <c r="K23" s="478"/>
    </row>
    <row r="24" spans="1:11" x14ac:dyDescent="0.2">
      <c r="A24" s="30">
        <v>4</v>
      </c>
      <c r="B24" s="693"/>
      <c r="C24" s="382">
        <v>0</v>
      </c>
      <c r="D24" s="382"/>
      <c r="E24" s="382">
        <v>0</v>
      </c>
      <c r="F24" s="382"/>
      <c r="G24" s="714"/>
      <c r="H24" s="478"/>
      <c r="I24" s="478"/>
      <c r="J24" s="478"/>
      <c r="K24" s="478"/>
    </row>
    <row r="25" spans="1:11" x14ac:dyDescent="0.2">
      <c r="A25" s="23"/>
      <c r="B25" s="720"/>
      <c r="C25" s="275"/>
      <c r="D25" s="275"/>
      <c r="E25" s="275"/>
      <c r="F25" s="275"/>
      <c r="G25" s="276"/>
      <c r="H25" s="478"/>
      <c r="I25" s="478"/>
      <c r="J25" s="478"/>
      <c r="K25" s="478"/>
    </row>
    <row r="26" spans="1:11" x14ac:dyDescent="0.2">
      <c r="A26" s="386" t="s">
        <v>303</v>
      </c>
      <c r="B26" s="699"/>
      <c r="C26" s="699"/>
      <c r="D26" s="699"/>
      <c r="E26" s="699"/>
      <c r="F26" s="699"/>
      <c r="G26" s="699"/>
      <c r="H26" s="699"/>
      <c r="I26" s="699"/>
      <c r="J26" s="699"/>
      <c r="K26" s="699"/>
    </row>
    <row r="27" spans="1:11" x14ac:dyDescent="0.2">
      <c r="A27" s="386"/>
      <c r="B27" s="699"/>
      <c r="C27" s="699"/>
      <c r="D27" s="699"/>
      <c r="E27" s="699"/>
      <c r="F27" s="699"/>
      <c r="G27" s="699"/>
      <c r="H27" s="699"/>
      <c r="I27" s="699"/>
      <c r="J27" s="699"/>
      <c r="K27" s="699"/>
    </row>
    <row r="28" spans="1:11" x14ac:dyDescent="0.2">
      <c r="A28" s="425" t="s">
        <v>249</v>
      </c>
      <c r="B28" s="699" t="s">
        <v>294</v>
      </c>
      <c r="C28" s="623">
        <v>13</v>
      </c>
      <c r="D28" s="699"/>
      <c r="E28" s="699"/>
      <c r="F28" s="699"/>
      <c r="G28" s="699"/>
      <c r="H28" s="699"/>
      <c r="I28" s="699"/>
      <c r="J28" s="699"/>
      <c r="K28" s="699"/>
    </row>
    <row r="29" spans="1:11" x14ac:dyDescent="0.2">
      <c r="A29" s="427"/>
      <c r="B29" s="428"/>
      <c r="C29" s="687" t="s">
        <v>294</v>
      </c>
      <c r="D29" s="685"/>
      <c r="E29" s="699"/>
      <c r="F29" s="623">
        <v>7</v>
      </c>
      <c r="G29" s="699"/>
      <c r="H29" s="699"/>
      <c r="I29" s="699"/>
      <c r="J29" s="699"/>
      <c r="K29" s="699"/>
    </row>
    <row r="30" spans="1:11" x14ac:dyDescent="0.2">
      <c r="A30" s="425"/>
      <c r="B30" s="735" t="s">
        <v>147</v>
      </c>
      <c r="C30" s="433">
        <v>0</v>
      </c>
      <c r="D30" s="699"/>
      <c r="E30" s="434"/>
      <c r="F30" s="699"/>
      <c r="G30" s="699"/>
      <c r="H30" s="699"/>
      <c r="I30" s="699"/>
      <c r="J30" s="699"/>
      <c r="K30" s="699"/>
    </row>
    <row r="31" spans="1:11" x14ac:dyDescent="0.2">
      <c r="A31" s="427"/>
      <c r="B31" s="699"/>
      <c r="C31" s="699"/>
      <c r="D31" s="435"/>
      <c r="E31" s="436"/>
      <c r="F31" s="758" t="s">
        <v>492</v>
      </c>
      <c r="G31" s="699"/>
      <c r="H31" s="699"/>
      <c r="I31" s="623">
        <v>13</v>
      </c>
      <c r="J31" s="699"/>
      <c r="K31" s="699"/>
    </row>
    <row r="32" spans="1:11" x14ac:dyDescent="0.2">
      <c r="A32" s="425" t="s">
        <v>247</v>
      </c>
      <c r="B32" s="437" t="s">
        <v>284</v>
      </c>
      <c r="C32" s="622">
        <v>8</v>
      </c>
      <c r="D32" s="699"/>
      <c r="E32" s="436"/>
      <c r="F32" s="428"/>
      <c r="G32" s="428"/>
      <c r="H32" s="434"/>
      <c r="I32" s="699"/>
      <c r="J32" s="699"/>
      <c r="K32" s="699"/>
    </row>
    <row r="33" spans="1:11" x14ac:dyDescent="0.2">
      <c r="A33" s="427"/>
      <c r="B33" s="428"/>
      <c r="C33" s="759" t="s">
        <v>491</v>
      </c>
      <c r="D33" s="699"/>
      <c r="E33" s="440"/>
      <c r="F33" s="622">
        <v>13</v>
      </c>
      <c r="G33" s="435"/>
      <c r="H33" s="436"/>
      <c r="I33" s="699"/>
      <c r="J33" s="699"/>
      <c r="K33" s="699"/>
    </row>
    <row r="34" spans="1:11" x14ac:dyDescent="0.2">
      <c r="A34" s="425" t="s">
        <v>251</v>
      </c>
      <c r="B34" s="684" t="s">
        <v>479</v>
      </c>
      <c r="C34" s="442">
        <v>13</v>
      </c>
      <c r="D34" s="428"/>
      <c r="E34" s="699"/>
      <c r="F34" s="435"/>
      <c r="G34" s="435"/>
      <c r="H34" s="436"/>
      <c r="I34" s="699"/>
      <c r="J34" s="699"/>
      <c r="K34" s="699"/>
    </row>
    <row r="35" spans="1:11" ht="13.5" thickBot="1" x14ac:dyDescent="0.25">
      <c r="A35" s="427"/>
      <c r="B35" s="699"/>
      <c r="C35" s="699"/>
      <c r="D35" s="699"/>
      <c r="E35" s="699"/>
      <c r="F35" s="435"/>
      <c r="G35" s="435"/>
      <c r="H35" s="436"/>
      <c r="I35" s="699"/>
      <c r="J35" s="699" t="s">
        <v>479</v>
      </c>
      <c r="K35" s="699"/>
    </row>
    <row r="36" spans="1:11" x14ac:dyDescent="0.2">
      <c r="A36" s="425" t="s">
        <v>252</v>
      </c>
      <c r="B36" s="699" t="s">
        <v>444</v>
      </c>
      <c r="C36" s="623">
        <v>12</v>
      </c>
      <c r="D36" s="699"/>
      <c r="E36" s="699"/>
      <c r="F36" s="435"/>
      <c r="G36" s="435"/>
      <c r="H36" s="436"/>
      <c r="I36" s="443"/>
      <c r="J36" s="444" t="s">
        <v>148</v>
      </c>
      <c r="K36" s="445"/>
    </row>
    <row r="37" spans="1:11" x14ac:dyDescent="0.2">
      <c r="A37" s="427"/>
      <c r="B37" s="428"/>
      <c r="C37" s="687" t="s">
        <v>482</v>
      </c>
      <c r="D37" s="685"/>
      <c r="E37" s="699"/>
      <c r="F37" s="622">
        <v>13</v>
      </c>
      <c r="G37" s="435"/>
      <c r="H37" s="436"/>
      <c r="I37" s="699"/>
      <c r="J37" s="699"/>
      <c r="K37" s="699"/>
    </row>
    <row r="38" spans="1:11" ht="13.5" thickBot="1" x14ac:dyDescent="0.25">
      <c r="A38" s="425" t="s">
        <v>254</v>
      </c>
      <c r="B38" s="685" t="s">
        <v>482</v>
      </c>
      <c r="C38" s="433">
        <v>13</v>
      </c>
      <c r="D38" s="699"/>
      <c r="E38" s="434"/>
      <c r="F38" s="435"/>
      <c r="G38" s="435"/>
      <c r="H38" s="436"/>
      <c r="I38" s="699"/>
      <c r="J38" s="700" t="s">
        <v>482</v>
      </c>
      <c r="K38" s="700"/>
    </row>
    <row r="39" spans="1:11" x14ac:dyDescent="0.2">
      <c r="A39" s="427"/>
      <c r="B39" s="699"/>
      <c r="C39" s="699"/>
      <c r="D39" s="435"/>
      <c r="E39" s="436"/>
      <c r="F39" s="685" t="s">
        <v>482</v>
      </c>
      <c r="G39" s="685"/>
      <c r="H39" s="440"/>
      <c r="I39" s="623">
        <v>8</v>
      </c>
      <c r="J39" s="444" t="s">
        <v>149</v>
      </c>
      <c r="K39" s="699"/>
    </row>
    <row r="40" spans="1:11" x14ac:dyDescent="0.2">
      <c r="A40" s="425" t="s">
        <v>246</v>
      </c>
      <c r="B40" s="699" t="s">
        <v>443</v>
      </c>
      <c r="C40" s="622">
        <v>13</v>
      </c>
      <c r="D40" s="699"/>
      <c r="E40" s="436"/>
      <c r="F40" s="699"/>
      <c r="G40" s="699"/>
      <c r="H40" s="699"/>
      <c r="I40" s="699"/>
      <c r="J40" s="699"/>
      <c r="K40" s="699"/>
    </row>
    <row r="41" spans="1:11" x14ac:dyDescent="0.2">
      <c r="A41" s="427"/>
      <c r="B41" s="428"/>
      <c r="C41" s="459" t="s">
        <v>443</v>
      </c>
      <c r="D41" s="699"/>
      <c r="E41" s="440"/>
      <c r="F41" s="623">
        <v>7</v>
      </c>
      <c r="G41" s="699"/>
      <c r="H41" s="699"/>
      <c r="I41" s="699"/>
      <c r="J41" s="699"/>
      <c r="K41" s="699"/>
    </row>
    <row r="42" spans="1:11" x14ac:dyDescent="0.2">
      <c r="A42" s="425"/>
      <c r="B42" s="738" t="s">
        <v>147</v>
      </c>
      <c r="C42" s="442">
        <v>0</v>
      </c>
      <c r="D42" s="428"/>
      <c r="E42" s="699"/>
      <c r="F42" s="699"/>
      <c r="G42" s="699"/>
      <c r="H42" s="699"/>
      <c r="I42" s="699"/>
      <c r="J42" s="699"/>
      <c r="K42" s="699"/>
    </row>
    <row r="43" spans="1:11" x14ac:dyDescent="0.2">
      <c r="A43" s="699"/>
      <c r="B43" s="699"/>
      <c r="C43" s="699"/>
      <c r="D43" s="699"/>
      <c r="E43" s="699"/>
      <c r="F43" s="699" t="s">
        <v>294</v>
      </c>
      <c r="G43" s="699"/>
      <c r="H43" s="699"/>
      <c r="I43" s="622">
        <v>13</v>
      </c>
      <c r="J43" s="435"/>
      <c r="K43" s="435"/>
    </row>
    <row r="44" spans="1:11" ht="13.5" thickBot="1" x14ac:dyDescent="0.25">
      <c r="A44" s="699"/>
      <c r="B44" s="699"/>
      <c r="C44" s="699"/>
      <c r="D44" s="699"/>
      <c r="E44" s="699"/>
      <c r="F44" s="428"/>
      <c r="G44" s="428"/>
      <c r="H44" s="434"/>
      <c r="I44" s="700"/>
      <c r="J44" s="700" t="s">
        <v>294</v>
      </c>
      <c r="K44" s="700"/>
    </row>
    <row r="45" spans="1:11" x14ac:dyDescent="0.2">
      <c r="A45" s="699"/>
      <c r="B45" s="699"/>
      <c r="C45" s="699"/>
      <c r="D45" s="699"/>
      <c r="E45" s="699"/>
      <c r="F45" s="685" t="s">
        <v>443</v>
      </c>
      <c r="G45" s="685"/>
      <c r="H45" s="440"/>
      <c r="I45" s="623">
        <v>3</v>
      </c>
      <c r="J45" s="447" t="s">
        <v>150</v>
      </c>
      <c r="K45" s="435"/>
    </row>
    <row r="46" spans="1:11" x14ac:dyDescent="0.2">
      <c r="A46" s="699"/>
      <c r="B46" s="699"/>
      <c r="C46" s="699"/>
      <c r="D46" s="699"/>
      <c r="E46" s="699"/>
      <c r="F46" s="699"/>
      <c r="G46" s="699"/>
      <c r="H46" s="699"/>
      <c r="I46" s="699"/>
      <c r="J46" s="435"/>
      <c r="K46" s="435"/>
    </row>
    <row r="47" spans="1:11" ht="13.5" thickBot="1" x14ac:dyDescent="0.25">
      <c r="A47" s="699"/>
      <c r="B47" s="699"/>
      <c r="C47" s="699"/>
      <c r="D47" s="699"/>
      <c r="E47" s="699"/>
      <c r="F47" s="699"/>
      <c r="G47" s="435"/>
      <c r="H47" s="435"/>
      <c r="I47" s="699"/>
      <c r="J47" s="700" t="s">
        <v>443</v>
      </c>
      <c r="K47" s="700"/>
    </row>
    <row r="48" spans="1:11" x14ac:dyDescent="0.2">
      <c r="A48" s="699"/>
      <c r="B48" s="699"/>
      <c r="C48" s="736" t="s">
        <v>147</v>
      </c>
      <c r="D48" s="699"/>
      <c r="E48" s="699"/>
      <c r="F48" s="623">
        <v>0</v>
      </c>
      <c r="G48" s="699"/>
      <c r="H48" s="699"/>
      <c r="I48" s="699"/>
      <c r="J48" s="448" t="s">
        <v>151</v>
      </c>
      <c r="K48" s="699"/>
    </row>
    <row r="49" spans="1:11" x14ac:dyDescent="0.2">
      <c r="A49" s="699"/>
      <c r="B49" s="699"/>
      <c r="C49" s="428"/>
      <c r="D49" s="428"/>
      <c r="E49" s="434"/>
      <c r="F49" s="687" t="s">
        <v>284</v>
      </c>
      <c r="G49" s="685"/>
      <c r="H49" s="685"/>
      <c r="I49" s="623">
        <v>13</v>
      </c>
      <c r="J49" s="699"/>
      <c r="K49" s="699"/>
    </row>
    <row r="50" spans="1:11" x14ac:dyDescent="0.2">
      <c r="A50" s="699"/>
      <c r="B50" s="699"/>
      <c r="C50" s="685" t="s">
        <v>284</v>
      </c>
      <c r="D50" s="685"/>
      <c r="E50" s="440"/>
      <c r="F50" s="449">
        <v>13</v>
      </c>
      <c r="G50" s="699"/>
      <c r="H50" s="436"/>
      <c r="I50" s="699"/>
      <c r="J50" s="699"/>
      <c r="K50" s="699"/>
    </row>
    <row r="51" spans="1:11" ht="13.5" thickBot="1" x14ac:dyDescent="0.25">
      <c r="A51" s="699"/>
      <c r="B51" s="699"/>
      <c r="C51" s="699"/>
      <c r="D51" s="699"/>
      <c r="E51" s="699"/>
      <c r="F51" s="435"/>
      <c r="G51" s="699"/>
      <c r="H51" s="436"/>
      <c r="I51" s="699"/>
      <c r="J51" s="699" t="s">
        <v>284</v>
      </c>
      <c r="K51" s="699"/>
    </row>
    <row r="52" spans="1:11" x14ac:dyDescent="0.2">
      <c r="A52" s="699"/>
      <c r="B52" s="699"/>
      <c r="C52" s="699" t="s">
        <v>444</v>
      </c>
      <c r="D52" s="699"/>
      <c r="E52" s="699"/>
      <c r="F52" s="622">
        <v>13</v>
      </c>
      <c r="G52" s="699"/>
      <c r="H52" s="436"/>
      <c r="I52" s="443"/>
      <c r="J52" s="444" t="s">
        <v>152</v>
      </c>
      <c r="K52" s="445"/>
    </row>
    <row r="53" spans="1:11" x14ac:dyDescent="0.2">
      <c r="A53" s="699"/>
      <c r="B53" s="699"/>
      <c r="C53" s="428"/>
      <c r="D53" s="428"/>
      <c r="E53" s="434"/>
      <c r="F53" s="459" t="s">
        <v>444</v>
      </c>
      <c r="G53" s="699"/>
      <c r="H53" s="440"/>
      <c r="I53" s="622">
        <v>0</v>
      </c>
      <c r="J53" s="699"/>
      <c r="K53" s="699"/>
    </row>
    <row r="54" spans="1:11" ht="13.5" thickBot="1" x14ac:dyDescent="0.25">
      <c r="A54" s="699"/>
      <c r="B54" s="699"/>
      <c r="C54" s="738" t="s">
        <v>147</v>
      </c>
      <c r="D54" s="685"/>
      <c r="E54" s="440"/>
      <c r="F54" s="442">
        <v>0</v>
      </c>
      <c r="G54" s="428"/>
      <c r="H54" s="699"/>
      <c r="I54" s="435"/>
      <c r="J54" s="435" t="s">
        <v>444</v>
      </c>
      <c r="K54" s="700"/>
    </row>
    <row r="55" spans="1:11" x14ac:dyDescent="0.2">
      <c r="A55" s="699"/>
      <c r="B55" s="699"/>
      <c r="C55" s="699"/>
      <c r="D55" s="699"/>
      <c r="E55" s="699"/>
      <c r="F55" s="699"/>
      <c r="G55" s="699"/>
      <c r="H55" s="699"/>
      <c r="I55" s="435"/>
      <c r="J55" s="444" t="s">
        <v>153</v>
      </c>
      <c r="K55" s="435"/>
    </row>
    <row r="56" spans="1:11" x14ac:dyDescent="0.2">
      <c r="A56" s="699"/>
      <c r="B56" s="699"/>
      <c r="C56" s="699"/>
      <c r="D56" s="699"/>
      <c r="E56" s="699"/>
      <c r="F56" s="699"/>
      <c r="G56" s="699"/>
      <c r="H56" s="699"/>
      <c r="I56" s="622"/>
      <c r="J56" s="435"/>
      <c r="K56" s="435"/>
    </row>
    <row r="57" spans="1:11" x14ac:dyDescent="0.2">
      <c r="A57" s="585" t="s">
        <v>403</v>
      </c>
      <c r="B57" s="704"/>
      <c r="C57" s="704"/>
      <c r="D57" s="704"/>
      <c r="E57" s="704"/>
      <c r="F57" s="704"/>
      <c r="G57" s="704"/>
      <c r="H57" s="704"/>
      <c r="I57" s="708"/>
      <c r="J57" s="708"/>
      <c r="K57" s="704"/>
    </row>
    <row r="58" spans="1:11" x14ac:dyDescent="0.2">
      <c r="A58" s="478"/>
      <c r="B58" s="389" t="s">
        <v>255</v>
      </c>
      <c r="C58" s="586" t="s">
        <v>282</v>
      </c>
      <c r="D58" s="566"/>
      <c r="E58" s="566"/>
      <c r="F58" s="566">
        <v>13</v>
      </c>
      <c r="G58" s="478"/>
      <c r="H58" s="566"/>
      <c r="I58" s="566"/>
      <c r="J58" s="704"/>
      <c r="K58" s="704"/>
    </row>
    <row r="59" spans="1:11" x14ac:dyDescent="0.2">
      <c r="A59" s="478"/>
      <c r="B59" s="389"/>
      <c r="C59" s="587"/>
      <c r="D59" s="587"/>
      <c r="E59" s="588"/>
      <c r="F59" s="621" t="s">
        <v>282</v>
      </c>
      <c r="G59" s="478"/>
      <c r="H59" s="566"/>
      <c r="I59" s="566">
        <v>13</v>
      </c>
      <c r="J59" s="704"/>
      <c r="K59" s="704"/>
    </row>
    <row r="60" spans="1:11" x14ac:dyDescent="0.2">
      <c r="A60" s="478"/>
      <c r="B60" s="389"/>
      <c r="C60" s="737" t="s">
        <v>147</v>
      </c>
      <c r="D60" s="621"/>
      <c r="E60" s="590"/>
      <c r="F60" s="566">
        <v>0</v>
      </c>
      <c r="G60" s="625"/>
      <c r="H60" s="588"/>
      <c r="I60" s="566"/>
      <c r="J60" s="704"/>
      <c r="K60" s="704"/>
    </row>
    <row r="61" spans="1:11" ht="13.5" thickBot="1" x14ac:dyDescent="0.25">
      <c r="A61" s="478"/>
      <c r="B61" s="389"/>
      <c r="C61" s="566"/>
      <c r="D61" s="566"/>
      <c r="E61" s="566"/>
      <c r="F61" s="478"/>
      <c r="G61" s="575"/>
      <c r="H61" s="591"/>
      <c r="I61" s="566"/>
      <c r="J61" s="704" t="s">
        <v>282</v>
      </c>
      <c r="K61" s="704"/>
    </row>
    <row r="62" spans="1:11" x14ac:dyDescent="0.2">
      <c r="A62" s="478"/>
      <c r="B62" s="389" t="s">
        <v>264</v>
      </c>
      <c r="C62" s="566" t="s">
        <v>480</v>
      </c>
      <c r="D62" s="566"/>
      <c r="E62" s="566"/>
      <c r="F62" s="739">
        <v>13</v>
      </c>
      <c r="G62" s="8"/>
      <c r="H62" s="591"/>
      <c r="I62" s="592"/>
      <c r="J62" s="581" t="s">
        <v>154</v>
      </c>
      <c r="K62" s="582"/>
    </row>
    <row r="63" spans="1:11" x14ac:dyDescent="0.2">
      <c r="A63" s="478"/>
      <c r="B63" s="389"/>
      <c r="C63" s="587"/>
      <c r="D63" s="587"/>
      <c r="E63" s="588"/>
      <c r="F63" s="566" t="s">
        <v>480</v>
      </c>
      <c r="G63" s="626"/>
      <c r="H63" s="590"/>
      <c r="I63" s="575">
        <v>2</v>
      </c>
      <c r="J63" s="704"/>
      <c r="K63" s="704"/>
    </row>
    <row r="64" spans="1:11" ht="13.5" thickBot="1" x14ac:dyDescent="0.25">
      <c r="A64" s="478"/>
      <c r="B64" s="389" t="s">
        <v>267</v>
      </c>
      <c r="C64" s="621" t="s">
        <v>483</v>
      </c>
      <c r="D64" s="621"/>
      <c r="E64" s="590"/>
      <c r="F64" s="740" t="s">
        <v>20</v>
      </c>
      <c r="G64" s="478"/>
      <c r="H64" s="566"/>
      <c r="I64" s="575"/>
      <c r="J64" s="708" t="s">
        <v>480</v>
      </c>
      <c r="K64" s="706"/>
    </row>
    <row r="65" spans="1:11" x14ac:dyDescent="0.2">
      <c r="A65" s="478"/>
      <c r="B65" s="478"/>
      <c r="C65" s="478"/>
      <c r="D65" s="566"/>
      <c r="E65" s="566"/>
      <c r="F65" s="566"/>
      <c r="G65" s="566"/>
      <c r="H65" s="566"/>
      <c r="I65" s="575"/>
      <c r="J65" s="581" t="s">
        <v>155</v>
      </c>
      <c r="K65" s="708"/>
    </row>
    <row r="66" spans="1:11" x14ac:dyDescent="0.2">
      <c r="A66" s="478"/>
      <c r="B66" s="478"/>
      <c r="C66" s="478"/>
      <c r="D66" s="566"/>
      <c r="E66" s="566"/>
      <c r="F66" s="739" t="s">
        <v>147</v>
      </c>
      <c r="G66" s="478"/>
      <c r="H66" s="566"/>
      <c r="I66" s="575">
        <v>0</v>
      </c>
      <c r="J66" s="708"/>
      <c r="K66" s="708"/>
    </row>
    <row r="67" spans="1:11" ht="13.5" thickBot="1" x14ac:dyDescent="0.25">
      <c r="A67" s="478"/>
      <c r="B67" s="478"/>
      <c r="C67" s="478"/>
      <c r="D67" s="566"/>
      <c r="E67" s="566"/>
      <c r="F67" s="587"/>
      <c r="G67" s="625"/>
      <c r="H67" s="588"/>
      <c r="I67" s="593"/>
      <c r="J67" s="706" t="s">
        <v>483</v>
      </c>
      <c r="K67" s="706"/>
    </row>
    <row r="68" spans="1:11" x14ac:dyDescent="0.2">
      <c r="A68" s="478"/>
      <c r="B68" s="478"/>
      <c r="C68" s="478"/>
      <c r="D68" s="566"/>
      <c r="E68" s="566"/>
      <c r="F68" s="621" t="s">
        <v>483</v>
      </c>
      <c r="G68" s="626"/>
      <c r="H68" s="590"/>
      <c r="I68" s="566">
        <v>13</v>
      </c>
      <c r="J68" s="584" t="s">
        <v>156</v>
      </c>
      <c r="K68" s="708"/>
    </row>
    <row r="69" spans="1:1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2">
      <c r="A70" s="30">
        <v>1</v>
      </c>
      <c r="B70" s="32" t="s">
        <v>479</v>
      </c>
      <c r="C70" s="12"/>
      <c r="D70" s="12"/>
      <c r="E70" s="12"/>
      <c r="F70" s="12"/>
      <c r="G70" s="12"/>
      <c r="H70" s="12"/>
      <c r="I70" s="12"/>
      <c r="J70" s="12"/>
      <c r="K70" s="12"/>
    </row>
    <row r="71" spans="1:11" x14ac:dyDescent="0.2">
      <c r="A71" s="30">
        <v>2</v>
      </c>
      <c r="B71" s="742" t="s">
        <v>482</v>
      </c>
      <c r="C71" s="12"/>
      <c r="D71" s="12"/>
      <c r="E71" s="12"/>
      <c r="F71" s="12"/>
      <c r="G71" s="12"/>
      <c r="H71" s="12"/>
      <c r="I71" s="12"/>
      <c r="J71" s="12"/>
      <c r="K71" s="12"/>
    </row>
    <row r="72" spans="1:11" x14ac:dyDescent="0.2">
      <c r="A72" s="30">
        <v>3</v>
      </c>
      <c r="B72" s="743" t="s">
        <v>294</v>
      </c>
      <c r="C72" s="12"/>
      <c r="D72" s="12"/>
      <c r="E72" s="12"/>
      <c r="F72" s="12"/>
      <c r="G72" s="12"/>
      <c r="H72" s="12"/>
      <c r="I72" s="12"/>
      <c r="J72" s="12"/>
      <c r="K72" s="12"/>
    </row>
    <row r="73" spans="1:11" x14ac:dyDescent="0.2">
      <c r="A73" s="30">
        <v>4</v>
      </c>
      <c r="B73" s="694" t="s">
        <v>443</v>
      </c>
      <c r="C73" s="12"/>
      <c r="D73" s="12"/>
      <c r="E73" s="12"/>
      <c r="F73" s="12"/>
      <c r="G73" s="12"/>
      <c r="H73" s="12"/>
      <c r="I73" s="12"/>
      <c r="J73" s="12"/>
      <c r="K73" s="12"/>
    </row>
    <row r="74" spans="1:11" x14ac:dyDescent="0.2">
      <c r="A74" s="30">
        <v>5</v>
      </c>
      <c r="B74" s="694" t="s">
        <v>284</v>
      </c>
      <c r="C74" s="12"/>
      <c r="D74" s="12"/>
      <c r="E74" s="12"/>
      <c r="F74" s="12"/>
      <c r="G74" s="12"/>
      <c r="H74" s="12"/>
      <c r="I74" s="12"/>
      <c r="J74" s="12"/>
      <c r="K74" s="12"/>
    </row>
    <row r="75" spans="1:11" x14ac:dyDescent="0.2">
      <c r="A75" s="30">
        <v>6</v>
      </c>
      <c r="B75" s="694" t="s">
        <v>444</v>
      </c>
      <c r="C75" s="12"/>
      <c r="D75" s="12"/>
      <c r="E75" s="12"/>
      <c r="F75" s="12"/>
      <c r="G75" s="12"/>
      <c r="H75" s="12"/>
      <c r="I75" s="12"/>
      <c r="J75" s="12"/>
      <c r="K75" s="12"/>
    </row>
    <row r="76" spans="1:11" x14ac:dyDescent="0.2">
      <c r="A76" s="30">
        <v>7</v>
      </c>
      <c r="B76" s="694" t="s">
        <v>282</v>
      </c>
      <c r="C76" s="12"/>
      <c r="D76" s="12"/>
      <c r="E76" s="12"/>
      <c r="F76" s="12"/>
      <c r="G76" s="12"/>
      <c r="H76" s="12"/>
      <c r="I76" s="12"/>
      <c r="J76" s="12"/>
      <c r="K76" s="12"/>
    </row>
    <row r="77" spans="1:11" x14ac:dyDescent="0.2">
      <c r="A77" s="30">
        <v>8</v>
      </c>
      <c r="B77" s="694" t="s">
        <v>480</v>
      </c>
      <c r="C77" s="12"/>
      <c r="D77" s="12"/>
      <c r="E77" s="12"/>
      <c r="F77" s="12"/>
      <c r="G77" s="12"/>
      <c r="H77" s="12"/>
      <c r="I77" s="12"/>
      <c r="J77" s="12"/>
      <c r="K77" s="12"/>
    </row>
    <row r="78" spans="1:11" x14ac:dyDescent="0.2">
      <c r="A78" s="30">
        <v>9</v>
      </c>
      <c r="B78" s="741" t="s">
        <v>483</v>
      </c>
      <c r="C78" s="12"/>
      <c r="D78" s="12"/>
      <c r="E78" s="12"/>
      <c r="F78" s="12"/>
      <c r="G78" s="12"/>
      <c r="H78" s="12"/>
      <c r="I78" s="12"/>
      <c r="J78" s="12"/>
      <c r="K78" s="12"/>
    </row>
    <row r="79" spans="1:1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2" spans="2:2" x14ac:dyDescent="0.2">
      <c r="B82" s="732"/>
    </row>
    <row r="83" spans="2:2" x14ac:dyDescent="0.2">
      <c r="B83" s="732"/>
    </row>
    <row r="86" spans="2:2" x14ac:dyDescent="0.2">
      <c r="B86" s="732"/>
    </row>
    <row r="87" spans="2:2" x14ac:dyDescent="0.2">
      <c r="B87" s="732"/>
    </row>
    <row r="88" spans="2:2" x14ac:dyDescent="0.2">
      <c r="B88" s="732"/>
    </row>
  </sheetData>
  <conditionalFormatting sqref="B28:I56 G61:I61 H58:I60 F58:F60 H62:I64 F62:F64 G65:I65 H66:I68 F66:F68">
    <cfRule type="cellIs" dxfId="97" priority="2" stopIfTrue="1" operator="equal">
      <formula>13</formula>
    </cfRule>
  </conditionalFormatting>
  <conditionalFormatting sqref="C9:G24">
    <cfRule type="cellIs" dxfId="96" priority="1" stopIfTrue="1" operator="equal">
      <formula>13</formula>
    </cfRule>
  </conditionalFormatting>
  <pageMargins left="0.39370078740157483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24" max="16383" man="1"/>
    <brk id="5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3.28515625" style="9" customWidth="1"/>
    <col min="2" max="2" width="26.85546875" style="9" bestFit="1" customWidth="1"/>
    <col min="3" max="3" width="7.28515625" style="9" bestFit="1" customWidth="1"/>
    <col min="4" max="4" width="7.42578125" style="9" bestFit="1" customWidth="1"/>
    <col min="5" max="5" width="9.140625" style="9"/>
    <col min="6" max="6" width="6.7109375" style="9" bestFit="1" customWidth="1"/>
    <col min="7" max="7" width="5.140625" style="9" bestFit="1" customWidth="1"/>
    <col min="8" max="8" width="14" style="9" customWidth="1"/>
    <col min="9" max="16384" width="9.140625" style="9"/>
  </cols>
  <sheetData>
    <row r="1" spans="1:12" s="104" customFormat="1" x14ac:dyDescent="0.2">
      <c r="A1" s="45" t="str">
        <f>UPPER((Kalend!E34)&amp;" - "&amp;(Kalend!C34)&amp;" - "&amp;(Kalend!D34))</f>
        <v>10 - K-JÄRVE 17. MV - DUO</v>
      </c>
      <c r="G1" s="297" t="str">
        <f>HYPERLINK("#Kalend!I1","Kalender")</f>
        <v>Kalender</v>
      </c>
      <c r="H1" s="478"/>
      <c r="I1" s="297" t="str">
        <f>HYPERLINK("#Reit!G1","Reiting")</f>
        <v>Reiting</v>
      </c>
      <c r="J1" s="478"/>
      <c r="K1" s="478"/>
    </row>
    <row r="2" spans="1:12" s="104" customFormat="1" x14ac:dyDescent="0.2">
      <c r="A2" s="9" t="str">
        <f>"Toimumisaeg: "&amp;(Kalend!A34)&amp;" kell "&amp;(Kalend!B34)</f>
        <v>Toimumisaeg: N, 25.08.2016 kell 18:00</v>
      </c>
    </row>
    <row r="3" spans="1:12" s="104" customFormat="1" x14ac:dyDescent="0.2">
      <c r="A3" s="9" t="str">
        <f>"Toimumiskoht: "&amp;(Kalend!F34)</f>
        <v>Toimumiskoht: K-Järve spordihoone</v>
      </c>
    </row>
    <row r="4" spans="1:12" s="104" customFormat="1" x14ac:dyDescent="0.2">
      <c r="A4" s="9" t="str">
        <f>"Korraldaja: "&amp;(Kalend!G34)</f>
        <v>Korraldaja: K-Järve SHK, Ivar Viljaste</v>
      </c>
    </row>
    <row r="6" spans="1:12" x14ac:dyDescent="0.2">
      <c r="A6" s="534" t="s">
        <v>505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</row>
    <row r="7" spans="1:12" x14ac:dyDescent="0.2">
      <c r="A7" s="478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</row>
    <row r="8" spans="1:12" x14ac:dyDescent="0.2">
      <c r="A8" s="30" t="s">
        <v>271</v>
      </c>
      <c r="B8" s="30"/>
      <c r="C8" s="381" t="s">
        <v>272</v>
      </c>
      <c r="D8" s="381" t="s">
        <v>273</v>
      </c>
      <c r="E8" s="381" t="s">
        <v>274</v>
      </c>
      <c r="F8" s="381" t="s">
        <v>275</v>
      </c>
      <c r="G8" s="381" t="s">
        <v>86</v>
      </c>
      <c r="H8" s="478"/>
      <c r="I8" s="478"/>
      <c r="J8" s="478"/>
      <c r="K8" s="478"/>
      <c r="L8" s="478"/>
    </row>
    <row r="9" spans="1:12" x14ac:dyDescent="0.2">
      <c r="A9" s="30">
        <v>1</v>
      </c>
      <c r="B9" s="766" t="s">
        <v>307</v>
      </c>
      <c r="C9" s="382">
        <v>13</v>
      </c>
      <c r="D9" s="382">
        <v>8</v>
      </c>
      <c r="E9" s="382"/>
      <c r="F9" s="382">
        <v>13</v>
      </c>
      <c r="G9" s="767" t="s">
        <v>146</v>
      </c>
      <c r="H9" s="478"/>
      <c r="I9" s="478"/>
      <c r="J9" s="478"/>
      <c r="K9" s="478"/>
      <c r="L9" s="478"/>
    </row>
    <row r="10" spans="1:12" x14ac:dyDescent="0.2">
      <c r="A10" s="30">
        <v>2</v>
      </c>
      <c r="B10" s="766" t="s">
        <v>310</v>
      </c>
      <c r="C10" s="382">
        <v>13</v>
      </c>
      <c r="D10" s="382">
        <v>13</v>
      </c>
      <c r="E10" s="382"/>
      <c r="F10" s="382"/>
      <c r="G10" s="767" t="s">
        <v>259</v>
      </c>
      <c r="H10" s="478"/>
      <c r="I10" s="478"/>
      <c r="J10" s="478"/>
      <c r="K10" s="478"/>
      <c r="L10" s="478"/>
    </row>
    <row r="11" spans="1:12" x14ac:dyDescent="0.2">
      <c r="A11" s="30">
        <v>3</v>
      </c>
      <c r="B11" s="766" t="s">
        <v>506</v>
      </c>
      <c r="C11" s="382">
        <v>2</v>
      </c>
      <c r="D11" s="382"/>
      <c r="E11" s="382">
        <v>13</v>
      </c>
      <c r="F11" s="382">
        <v>2</v>
      </c>
      <c r="G11" s="767" t="s">
        <v>260</v>
      </c>
      <c r="H11" s="478"/>
      <c r="I11" s="478"/>
      <c r="J11" s="478"/>
      <c r="K11" s="478"/>
      <c r="L11" s="478"/>
    </row>
    <row r="12" spans="1:12" x14ac:dyDescent="0.2">
      <c r="A12" s="30">
        <v>4</v>
      </c>
      <c r="B12" s="760"/>
      <c r="C12" s="382">
        <v>0</v>
      </c>
      <c r="D12" s="382"/>
      <c r="E12" s="382">
        <v>0</v>
      </c>
      <c r="F12" s="382"/>
      <c r="G12" s="734"/>
      <c r="H12" s="478"/>
      <c r="I12" s="478"/>
      <c r="J12" s="478"/>
      <c r="K12" s="478"/>
      <c r="L12" s="478"/>
    </row>
    <row r="13" spans="1:12" x14ac:dyDescent="0.2">
      <c r="A13" s="23"/>
      <c r="B13" s="8"/>
      <c r="C13" s="384"/>
      <c r="D13" s="384"/>
      <c r="E13" s="384"/>
      <c r="F13" s="275"/>
      <c r="G13" s="385"/>
      <c r="H13" s="478"/>
      <c r="I13" s="478"/>
      <c r="J13" s="478"/>
      <c r="K13" s="478"/>
      <c r="L13" s="478"/>
    </row>
    <row r="14" spans="1:12" x14ac:dyDescent="0.2">
      <c r="A14" s="30" t="s">
        <v>276</v>
      </c>
      <c r="B14" s="30"/>
      <c r="C14" s="381" t="s">
        <v>272</v>
      </c>
      <c r="D14" s="381" t="s">
        <v>273</v>
      </c>
      <c r="E14" s="381" t="s">
        <v>274</v>
      </c>
      <c r="F14" s="381" t="s">
        <v>275</v>
      </c>
      <c r="G14" s="381" t="s">
        <v>86</v>
      </c>
      <c r="H14" s="478"/>
      <c r="I14" s="478"/>
      <c r="J14" s="478"/>
      <c r="K14" s="478"/>
      <c r="L14" s="478"/>
    </row>
    <row r="15" spans="1:12" x14ac:dyDescent="0.2">
      <c r="A15" s="30">
        <v>1</v>
      </c>
      <c r="B15" s="766" t="s">
        <v>507</v>
      </c>
      <c r="C15" s="382">
        <v>13</v>
      </c>
      <c r="D15" s="382">
        <v>13</v>
      </c>
      <c r="E15" s="382"/>
      <c r="F15" s="382"/>
      <c r="G15" s="767" t="s">
        <v>259</v>
      </c>
      <c r="H15" s="478"/>
      <c r="I15" s="478"/>
      <c r="J15" s="478"/>
      <c r="K15" s="478"/>
      <c r="L15" s="478"/>
    </row>
    <row r="16" spans="1:12" x14ac:dyDescent="0.2">
      <c r="A16" s="30">
        <v>2</v>
      </c>
      <c r="B16" s="766" t="s">
        <v>298</v>
      </c>
      <c r="C16" s="382">
        <v>13</v>
      </c>
      <c r="D16" s="382">
        <v>6</v>
      </c>
      <c r="E16" s="382"/>
      <c r="F16" s="382">
        <v>1</v>
      </c>
      <c r="G16" s="767" t="s">
        <v>260</v>
      </c>
      <c r="H16" s="688" t="s">
        <v>440</v>
      </c>
      <c r="I16" s="478"/>
      <c r="J16" s="478"/>
      <c r="K16" s="478"/>
      <c r="L16" s="478"/>
    </row>
    <row r="17" spans="1:12" x14ac:dyDescent="0.2">
      <c r="A17" s="30">
        <v>3</v>
      </c>
      <c r="B17" s="766" t="s">
        <v>427</v>
      </c>
      <c r="C17" s="382">
        <v>2</v>
      </c>
      <c r="D17" s="382"/>
      <c r="E17" s="382">
        <v>13</v>
      </c>
      <c r="F17" s="382">
        <v>13</v>
      </c>
      <c r="G17" s="767" t="s">
        <v>146</v>
      </c>
      <c r="H17" s="478"/>
      <c r="I17" s="478"/>
      <c r="J17" s="478"/>
      <c r="K17" s="478"/>
      <c r="L17" s="478"/>
    </row>
    <row r="18" spans="1:12" x14ac:dyDescent="0.2">
      <c r="A18" s="30">
        <v>4</v>
      </c>
      <c r="B18" s="671"/>
      <c r="C18" s="382">
        <v>0</v>
      </c>
      <c r="D18" s="382"/>
      <c r="E18" s="382">
        <v>0</v>
      </c>
      <c r="F18" s="382"/>
      <c r="G18" s="734"/>
      <c r="H18" s="478"/>
      <c r="I18" s="478"/>
      <c r="J18" s="478"/>
      <c r="K18" s="478"/>
      <c r="L18" s="478"/>
    </row>
    <row r="19" spans="1:12" x14ac:dyDescent="0.2">
      <c r="A19" s="23"/>
      <c r="B19" s="8"/>
      <c r="C19" s="384"/>
      <c r="D19" s="384"/>
      <c r="E19" s="384"/>
      <c r="F19" s="275"/>
      <c r="G19" s="385"/>
      <c r="H19" s="478"/>
      <c r="I19" s="478"/>
      <c r="J19" s="478"/>
      <c r="K19" s="478"/>
      <c r="L19" s="478"/>
    </row>
    <row r="20" spans="1:12" x14ac:dyDescent="0.2">
      <c r="A20" s="30" t="s">
        <v>299</v>
      </c>
      <c r="B20" s="30"/>
      <c r="C20" s="381" t="s">
        <v>272</v>
      </c>
      <c r="D20" s="381" t="s">
        <v>273</v>
      </c>
      <c r="E20" s="381" t="s">
        <v>274</v>
      </c>
      <c r="F20" s="381" t="s">
        <v>275</v>
      </c>
      <c r="G20" s="381" t="s">
        <v>86</v>
      </c>
      <c r="H20" s="478"/>
      <c r="I20" s="478"/>
      <c r="J20" s="478"/>
      <c r="K20" s="478"/>
      <c r="L20" s="478"/>
    </row>
    <row r="21" spans="1:12" x14ac:dyDescent="0.2">
      <c r="A21" s="30">
        <v>1</v>
      </c>
      <c r="B21" s="766" t="s">
        <v>308</v>
      </c>
      <c r="C21" s="382">
        <v>13</v>
      </c>
      <c r="D21" s="382">
        <v>2</v>
      </c>
      <c r="E21" s="382"/>
      <c r="F21" s="382">
        <v>12</v>
      </c>
      <c r="G21" s="767" t="s">
        <v>260</v>
      </c>
      <c r="H21" s="478"/>
      <c r="I21" s="478"/>
      <c r="J21" s="478"/>
      <c r="K21" s="478"/>
      <c r="L21" s="478"/>
    </row>
    <row r="22" spans="1:12" x14ac:dyDescent="0.2">
      <c r="A22" s="30">
        <v>2</v>
      </c>
      <c r="B22" s="766" t="s">
        <v>301</v>
      </c>
      <c r="C22" s="383">
        <v>10</v>
      </c>
      <c r="D22" s="382">
        <v>13</v>
      </c>
      <c r="E22" s="382"/>
      <c r="F22" s="382"/>
      <c r="G22" s="767" t="s">
        <v>259</v>
      </c>
      <c r="H22" s="478"/>
      <c r="I22" s="478"/>
      <c r="J22" s="478"/>
      <c r="K22" s="478"/>
      <c r="L22" s="478"/>
    </row>
    <row r="23" spans="1:12" x14ac:dyDescent="0.2">
      <c r="A23" s="30">
        <v>3</v>
      </c>
      <c r="B23" s="766" t="s">
        <v>300</v>
      </c>
      <c r="C23" s="382">
        <v>5</v>
      </c>
      <c r="D23" s="382"/>
      <c r="E23" s="382">
        <v>13</v>
      </c>
      <c r="F23" s="382">
        <v>13</v>
      </c>
      <c r="G23" s="767" t="s">
        <v>146</v>
      </c>
      <c r="H23" s="478"/>
      <c r="I23" s="478"/>
      <c r="J23" s="478"/>
      <c r="K23" s="478"/>
      <c r="L23" s="478"/>
    </row>
    <row r="24" spans="1:12" x14ac:dyDescent="0.2">
      <c r="A24" s="30">
        <v>4</v>
      </c>
      <c r="B24" s="733"/>
      <c r="C24" s="382">
        <v>0</v>
      </c>
      <c r="D24" s="382"/>
      <c r="E24" s="382">
        <v>0</v>
      </c>
      <c r="F24" s="382"/>
      <c r="G24" s="734"/>
      <c r="H24" s="478"/>
      <c r="I24" s="478"/>
      <c r="J24" s="478"/>
      <c r="K24" s="478"/>
      <c r="L24" s="478"/>
    </row>
    <row r="25" spans="1:12" x14ac:dyDescent="0.2">
      <c r="A25" s="23"/>
      <c r="B25" s="754"/>
      <c r="C25" s="275"/>
      <c r="D25" s="275"/>
      <c r="E25" s="275"/>
      <c r="F25" s="275"/>
      <c r="G25" s="276"/>
      <c r="H25" s="478"/>
      <c r="I25" s="478"/>
      <c r="J25" s="478"/>
      <c r="K25" s="478"/>
      <c r="L25" s="478"/>
    </row>
    <row r="26" spans="1:12" x14ac:dyDescent="0.2">
      <c r="A26" s="386" t="s">
        <v>303</v>
      </c>
      <c r="B26" s="758"/>
      <c r="C26" s="758"/>
      <c r="D26" s="758"/>
      <c r="E26" s="758"/>
      <c r="F26" s="758"/>
      <c r="G26" s="758"/>
      <c r="H26" s="758"/>
      <c r="I26" s="758"/>
      <c r="J26" s="758"/>
      <c r="K26" s="758"/>
      <c r="L26" s="478"/>
    </row>
    <row r="27" spans="1:12" x14ac:dyDescent="0.2">
      <c r="A27" s="386"/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478"/>
    </row>
    <row r="28" spans="1:12" x14ac:dyDescent="0.2">
      <c r="A28" s="425" t="s">
        <v>247</v>
      </c>
      <c r="B28" s="758" t="s">
        <v>310</v>
      </c>
      <c r="C28" s="431">
        <v>13</v>
      </c>
      <c r="D28" s="758"/>
      <c r="E28" s="758"/>
      <c r="F28" s="758"/>
      <c r="G28" s="758"/>
      <c r="H28" s="758"/>
      <c r="I28" s="758"/>
      <c r="J28" s="758"/>
      <c r="K28" s="758"/>
      <c r="L28" s="478"/>
    </row>
    <row r="29" spans="1:12" x14ac:dyDescent="0.2">
      <c r="A29" s="427"/>
      <c r="B29" s="428"/>
      <c r="C29" s="687" t="s">
        <v>310</v>
      </c>
      <c r="D29" s="738"/>
      <c r="E29" s="758"/>
      <c r="F29" s="623">
        <v>13</v>
      </c>
      <c r="G29" s="758"/>
      <c r="H29" s="758"/>
      <c r="I29" s="758"/>
      <c r="J29" s="758"/>
      <c r="K29" s="758"/>
      <c r="L29" s="478"/>
    </row>
    <row r="30" spans="1:12" x14ac:dyDescent="0.2">
      <c r="A30" s="425"/>
      <c r="B30" s="768" t="s">
        <v>147</v>
      </c>
      <c r="C30" s="449">
        <v>0</v>
      </c>
      <c r="D30" s="758"/>
      <c r="E30" s="434"/>
      <c r="F30" s="758"/>
      <c r="G30" s="758"/>
      <c r="H30" s="758"/>
      <c r="I30" s="758"/>
      <c r="J30" s="758"/>
      <c r="K30" s="758"/>
      <c r="L30" s="478"/>
    </row>
    <row r="31" spans="1:12" x14ac:dyDescent="0.2">
      <c r="A31" s="427"/>
      <c r="B31" s="758"/>
      <c r="C31" s="758"/>
      <c r="D31" s="435"/>
      <c r="E31" s="436"/>
      <c r="F31" s="758" t="s">
        <v>310</v>
      </c>
      <c r="G31" s="758"/>
      <c r="H31" s="758"/>
      <c r="I31" s="623">
        <v>13</v>
      </c>
      <c r="J31" s="758"/>
      <c r="K31" s="758"/>
      <c r="L31" s="478"/>
    </row>
    <row r="32" spans="1:12" x14ac:dyDescent="0.2">
      <c r="A32" s="425" t="s">
        <v>249</v>
      </c>
      <c r="B32" s="437" t="s">
        <v>301</v>
      </c>
      <c r="C32" s="622">
        <v>6</v>
      </c>
      <c r="D32" s="758"/>
      <c r="E32" s="436"/>
      <c r="F32" s="428"/>
      <c r="G32" s="428"/>
      <c r="H32" s="434"/>
      <c r="I32" s="758"/>
      <c r="J32" s="758"/>
      <c r="K32" s="758"/>
      <c r="L32" s="478"/>
    </row>
    <row r="33" spans="1:12" x14ac:dyDescent="0.2">
      <c r="A33" s="427"/>
      <c r="B33" s="428"/>
      <c r="C33" s="759" t="s">
        <v>427</v>
      </c>
      <c r="D33" s="758"/>
      <c r="E33" s="440"/>
      <c r="F33" s="622">
        <v>10</v>
      </c>
      <c r="G33" s="435"/>
      <c r="H33" s="436"/>
      <c r="I33" s="758"/>
      <c r="J33" s="758"/>
      <c r="K33" s="758"/>
      <c r="L33" s="478"/>
    </row>
    <row r="34" spans="1:12" x14ac:dyDescent="0.2">
      <c r="A34" s="425" t="s">
        <v>251</v>
      </c>
      <c r="B34" s="735" t="s">
        <v>427</v>
      </c>
      <c r="C34" s="442">
        <v>13</v>
      </c>
      <c r="D34" s="428"/>
      <c r="E34" s="758"/>
      <c r="F34" s="435"/>
      <c r="G34" s="435"/>
      <c r="H34" s="436"/>
      <c r="I34" s="758"/>
      <c r="J34" s="758"/>
      <c r="K34" s="758"/>
      <c r="L34" s="478"/>
    </row>
    <row r="35" spans="1:12" ht="13.5" thickBot="1" x14ac:dyDescent="0.25">
      <c r="A35" s="427"/>
      <c r="B35" s="758"/>
      <c r="C35" s="758"/>
      <c r="D35" s="758"/>
      <c r="E35" s="758"/>
      <c r="F35" s="435"/>
      <c r="G35" s="435"/>
      <c r="H35" s="436"/>
      <c r="I35" s="758"/>
      <c r="J35" s="758" t="s">
        <v>310</v>
      </c>
      <c r="K35" s="758"/>
      <c r="L35" s="478"/>
    </row>
    <row r="36" spans="1:12" x14ac:dyDescent="0.2">
      <c r="A36" s="425" t="s">
        <v>254</v>
      </c>
      <c r="B36" s="758" t="s">
        <v>300</v>
      </c>
      <c r="C36" s="623">
        <v>5</v>
      </c>
      <c r="D36" s="758"/>
      <c r="E36" s="758"/>
      <c r="F36" s="435"/>
      <c r="G36" s="435"/>
      <c r="H36" s="436"/>
      <c r="I36" s="443"/>
      <c r="J36" s="444" t="s">
        <v>148</v>
      </c>
      <c r="K36" s="445"/>
      <c r="L36" s="478"/>
    </row>
    <row r="37" spans="1:12" x14ac:dyDescent="0.2">
      <c r="A37" s="427"/>
      <c r="B37" s="428"/>
      <c r="C37" s="687" t="s">
        <v>307</v>
      </c>
      <c r="D37" s="738"/>
      <c r="E37" s="758"/>
      <c r="F37" s="622">
        <v>6</v>
      </c>
      <c r="G37" s="435"/>
      <c r="H37" s="436"/>
      <c r="I37" s="758"/>
      <c r="J37" s="758"/>
      <c r="K37" s="758"/>
      <c r="L37" s="478"/>
    </row>
    <row r="38" spans="1:12" ht="13.5" thickBot="1" x14ac:dyDescent="0.25">
      <c r="A38" s="425" t="s">
        <v>252</v>
      </c>
      <c r="B38" s="738" t="s">
        <v>307</v>
      </c>
      <c r="C38" s="433">
        <v>13</v>
      </c>
      <c r="D38" s="758"/>
      <c r="E38" s="434"/>
      <c r="F38" s="435"/>
      <c r="G38" s="435"/>
      <c r="H38" s="436"/>
      <c r="I38" s="758"/>
      <c r="J38" s="700" t="s">
        <v>507</v>
      </c>
      <c r="K38" s="700"/>
      <c r="L38" s="478"/>
    </row>
    <row r="39" spans="1:12" x14ac:dyDescent="0.2">
      <c r="A39" s="427"/>
      <c r="B39" s="758"/>
      <c r="C39" s="758"/>
      <c r="D39" s="435"/>
      <c r="E39" s="436"/>
      <c r="F39" s="738" t="s">
        <v>507</v>
      </c>
      <c r="G39" s="738"/>
      <c r="H39" s="440"/>
      <c r="I39" s="623">
        <v>11</v>
      </c>
      <c r="J39" s="444" t="s">
        <v>149</v>
      </c>
      <c r="K39" s="758"/>
      <c r="L39" s="478"/>
    </row>
    <row r="40" spans="1:12" x14ac:dyDescent="0.2">
      <c r="A40" s="425" t="s">
        <v>246</v>
      </c>
      <c r="B40" s="758" t="s">
        <v>507</v>
      </c>
      <c r="C40" s="622">
        <v>13</v>
      </c>
      <c r="D40" s="758"/>
      <c r="E40" s="436"/>
      <c r="F40" s="758"/>
      <c r="G40" s="758"/>
      <c r="H40" s="758"/>
      <c r="I40" s="758"/>
      <c r="J40" s="758"/>
      <c r="K40" s="758"/>
      <c r="L40" s="478"/>
    </row>
    <row r="41" spans="1:12" x14ac:dyDescent="0.2">
      <c r="A41" s="427"/>
      <c r="B41" s="428"/>
      <c r="C41" s="759" t="s">
        <v>507</v>
      </c>
      <c r="D41" s="758"/>
      <c r="E41" s="440"/>
      <c r="F41" s="623">
        <v>13</v>
      </c>
      <c r="G41" s="758"/>
      <c r="H41" s="758"/>
      <c r="I41" s="758"/>
      <c r="J41" s="758"/>
      <c r="K41" s="758"/>
      <c r="L41" s="478"/>
    </row>
    <row r="42" spans="1:12" x14ac:dyDescent="0.2">
      <c r="A42" s="425"/>
      <c r="B42" s="770" t="s">
        <v>147</v>
      </c>
      <c r="C42" s="442">
        <v>0</v>
      </c>
      <c r="D42" s="428"/>
      <c r="E42" s="758"/>
      <c r="F42" s="758"/>
      <c r="G42" s="758"/>
      <c r="H42" s="758"/>
      <c r="I42" s="758"/>
      <c r="J42" s="758"/>
      <c r="K42" s="758"/>
      <c r="L42" s="478"/>
    </row>
    <row r="43" spans="1:12" x14ac:dyDescent="0.2">
      <c r="A43" s="758"/>
      <c r="B43" s="758"/>
      <c r="C43" s="758"/>
      <c r="D43" s="758"/>
      <c r="E43" s="758"/>
      <c r="F43" s="758" t="s">
        <v>427</v>
      </c>
      <c r="G43" s="758"/>
      <c r="H43" s="758"/>
      <c r="I43" s="622">
        <v>13</v>
      </c>
      <c r="J43" s="435"/>
      <c r="K43" s="435"/>
      <c r="L43" s="478"/>
    </row>
    <row r="44" spans="1:12" ht="13.5" thickBot="1" x14ac:dyDescent="0.25">
      <c r="A44" s="758"/>
      <c r="B44" s="758"/>
      <c r="C44" s="758"/>
      <c r="D44" s="758"/>
      <c r="E44" s="758"/>
      <c r="F44" s="428"/>
      <c r="G44" s="428"/>
      <c r="H44" s="434"/>
      <c r="I44" s="700"/>
      <c r="J44" s="700" t="s">
        <v>427</v>
      </c>
      <c r="K44" s="700"/>
      <c r="L44" s="478"/>
    </row>
    <row r="45" spans="1:12" x14ac:dyDescent="0.2">
      <c r="A45" s="758"/>
      <c r="B45" s="758"/>
      <c r="C45" s="758"/>
      <c r="D45" s="758"/>
      <c r="E45" s="758"/>
      <c r="F45" s="738" t="s">
        <v>307</v>
      </c>
      <c r="G45" s="738"/>
      <c r="H45" s="440"/>
      <c r="I45" s="623">
        <v>1</v>
      </c>
      <c r="J45" s="447" t="s">
        <v>150</v>
      </c>
      <c r="K45" s="435"/>
      <c r="L45" s="478"/>
    </row>
    <row r="46" spans="1:12" x14ac:dyDescent="0.2">
      <c r="A46" s="758"/>
      <c r="B46" s="758"/>
      <c r="C46" s="758"/>
      <c r="D46" s="758"/>
      <c r="E46" s="758"/>
      <c r="F46" s="758"/>
      <c r="G46" s="758"/>
      <c r="H46" s="758"/>
      <c r="I46" s="758"/>
      <c r="J46" s="435"/>
      <c r="K46" s="435"/>
      <c r="L46" s="478"/>
    </row>
    <row r="47" spans="1:12" ht="13.5" thickBot="1" x14ac:dyDescent="0.25">
      <c r="A47" s="758"/>
      <c r="B47" s="758"/>
      <c r="C47" s="758"/>
      <c r="D47" s="758"/>
      <c r="E47" s="758"/>
      <c r="F47" s="758"/>
      <c r="G47" s="435"/>
      <c r="H47" s="435"/>
      <c r="I47" s="758"/>
      <c r="J47" s="700" t="s">
        <v>307</v>
      </c>
      <c r="K47" s="700"/>
      <c r="L47" s="478"/>
    </row>
    <row r="48" spans="1:12" x14ac:dyDescent="0.2">
      <c r="A48" s="758"/>
      <c r="B48" s="758"/>
      <c r="C48" s="769" t="s">
        <v>147</v>
      </c>
      <c r="D48" s="758"/>
      <c r="E48" s="758"/>
      <c r="F48" s="623">
        <v>0</v>
      </c>
      <c r="G48" s="758"/>
      <c r="H48" s="758"/>
      <c r="I48" s="758"/>
      <c r="J48" s="448" t="s">
        <v>151</v>
      </c>
      <c r="K48" s="758"/>
      <c r="L48" s="478"/>
    </row>
    <row r="49" spans="1:12" x14ac:dyDescent="0.2">
      <c r="A49" s="758"/>
      <c r="B49" s="758"/>
      <c r="C49" s="428"/>
      <c r="D49" s="428"/>
      <c r="E49" s="434"/>
      <c r="F49" s="687" t="s">
        <v>301</v>
      </c>
      <c r="G49" s="738"/>
      <c r="H49" s="738"/>
      <c r="I49" s="623">
        <v>12</v>
      </c>
      <c r="J49" s="758"/>
      <c r="K49" s="758"/>
      <c r="L49" s="478"/>
    </row>
    <row r="50" spans="1:12" x14ac:dyDescent="0.2">
      <c r="A50" s="758"/>
      <c r="B50" s="758"/>
      <c r="C50" s="738" t="s">
        <v>301</v>
      </c>
      <c r="D50" s="738"/>
      <c r="E50" s="440"/>
      <c r="F50" s="449">
        <v>13</v>
      </c>
      <c r="G50" s="758"/>
      <c r="H50" s="436"/>
      <c r="I50" s="758"/>
      <c r="J50" s="758"/>
      <c r="K50" s="758"/>
      <c r="L50" s="478"/>
    </row>
    <row r="51" spans="1:12" ht="13.5" thickBot="1" x14ac:dyDescent="0.25">
      <c r="A51" s="758"/>
      <c r="B51" s="758"/>
      <c r="C51" s="758"/>
      <c r="D51" s="758"/>
      <c r="E51" s="758"/>
      <c r="F51" s="435"/>
      <c r="G51" s="758"/>
      <c r="H51" s="436"/>
      <c r="I51" s="758"/>
      <c r="J51" s="758" t="s">
        <v>300</v>
      </c>
      <c r="K51" s="758"/>
      <c r="L51" s="478"/>
    </row>
    <row r="52" spans="1:12" x14ac:dyDescent="0.2">
      <c r="A52" s="758"/>
      <c r="B52" s="758"/>
      <c r="C52" s="758" t="s">
        <v>300</v>
      </c>
      <c r="D52" s="758"/>
      <c r="E52" s="758"/>
      <c r="F52" s="622"/>
      <c r="G52" s="758"/>
      <c r="H52" s="436"/>
      <c r="I52" s="443"/>
      <c r="J52" s="444" t="s">
        <v>152</v>
      </c>
      <c r="K52" s="445"/>
      <c r="L52" s="478"/>
    </row>
    <row r="53" spans="1:12" x14ac:dyDescent="0.2">
      <c r="A53" s="758"/>
      <c r="B53" s="758"/>
      <c r="C53" s="428"/>
      <c r="D53" s="428"/>
      <c r="E53" s="434"/>
      <c r="F53" s="759" t="s">
        <v>300</v>
      </c>
      <c r="G53" s="758"/>
      <c r="H53" s="440"/>
      <c r="I53" s="622">
        <v>13</v>
      </c>
      <c r="J53" s="758"/>
      <c r="K53" s="758"/>
      <c r="L53" s="478"/>
    </row>
    <row r="54" spans="1:12" ht="13.5" thickBot="1" x14ac:dyDescent="0.25">
      <c r="A54" s="758"/>
      <c r="B54" s="758"/>
      <c r="C54" s="738"/>
      <c r="D54" s="738"/>
      <c r="E54" s="440"/>
      <c r="F54" s="442"/>
      <c r="G54" s="428"/>
      <c r="H54" s="758"/>
      <c r="I54" s="435"/>
      <c r="J54" s="435" t="s">
        <v>301</v>
      </c>
      <c r="K54" s="700"/>
      <c r="L54" s="478"/>
    </row>
    <row r="55" spans="1:12" x14ac:dyDescent="0.2">
      <c r="A55" s="758"/>
      <c r="B55" s="758"/>
      <c r="C55" s="758"/>
      <c r="D55" s="758"/>
      <c r="E55" s="758"/>
      <c r="F55" s="758"/>
      <c r="G55" s="758"/>
      <c r="H55" s="758"/>
      <c r="I55" s="435"/>
      <c r="J55" s="444" t="s">
        <v>153</v>
      </c>
      <c r="K55" s="435"/>
      <c r="L55" s="478"/>
    </row>
    <row r="56" spans="1:12" x14ac:dyDescent="0.2">
      <c r="A56" s="758"/>
      <c r="B56" s="758"/>
      <c r="C56" s="758"/>
      <c r="D56" s="758"/>
      <c r="E56" s="758"/>
      <c r="F56" s="758"/>
      <c r="G56" s="758"/>
      <c r="H56" s="758"/>
      <c r="I56" s="622"/>
      <c r="J56" s="435"/>
      <c r="K56" s="435"/>
      <c r="L56" s="478"/>
    </row>
    <row r="57" spans="1:12" x14ac:dyDescent="0.2">
      <c r="A57" s="585" t="s">
        <v>403</v>
      </c>
      <c r="B57" s="704"/>
      <c r="C57" s="704"/>
      <c r="D57" s="704"/>
      <c r="E57" s="704"/>
      <c r="F57" s="704"/>
      <c r="G57" s="704"/>
      <c r="H57" s="704"/>
      <c r="I57" s="708"/>
      <c r="J57" s="708"/>
      <c r="K57" s="704"/>
      <c r="L57" s="478"/>
    </row>
    <row r="58" spans="1:12" x14ac:dyDescent="0.2">
      <c r="A58" s="478"/>
      <c r="B58" s="389"/>
      <c r="C58" s="586"/>
      <c r="D58" s="575"/>
      <c r="E58" s="575"/>
      <c r="F58" s="739"/>
      <c r="G58" s="478"/>
      <c r="H58" s="739"/>
      <c r="I58" s="739"/>
      <c r="J58" s="704"/>
      <c r="K58" s="704"/>
      <c r="L58" s="478"/>
    </row>
    <row r="59" spans="1:12" x14ac:dyDescent="0.2">
      <c r="A59" s="478"/>
      <c r="B59" s="389"/>
      <c r="C59" s="575"/>
      <c r="D59" s="575"/>
      <c r="E59" s="771" t="s">
        <v>267</v>
      </c>
      <c r="F59" s="478" t="s">
        <v>308</v>
      </c>
      <c r="G59" s="478"/>
      <c r="H59" s="478"/>
      <c r="I59" s="413">
        <v>12</v>
      </c>
      <c r="J59" s="704"/>
      <c r="K59" s="704"/>
      <c r="L59" s="478"/>
    </row>
    <row r="60" spans="1:12" ht="13.5" thickBot="1" x14ac:dyDescent="0.25">
      <c r="A60" s="478"/>
      <c r="B60" s="389"/>
      <c r="C60" s="575"/>
      <c r="D60" s="575"/>
      <c r="E60" s="575"/>
      <c r="F60" s="740"/>
      <c r="G60" s="625"/>
      <c r="H60" s="588"/>
      <c r="I60" s="739"/>
      <c r="J60" s="704" t="s">
        <v>506</v>
      </c>
      <c r="K60" s="704"/>
      <c r="L60" s="478"/>
    </row>
    <row r="61" spans="1:12" x14ac:dyDescent="0.2">
      <c r="A61" s="478"/>
      <c r="B61" s="389"/>
      <c r="C61" s="575"/>
      <c r="D61" s="575"/>
      <c r="E61" s="771" t="s">
        <v>255</v>
      </c>
      <c r="F61" s="737" t="s">
        <v>506</v>
      </c>
      <c r="G61" s="626"/>
      <c r="H61" s="590"/>
      <c r="I61" s="592">
        <v>13</v>
      </c>
      <c r="J61" s="581" t="s">
        <v>154</v>
      </c>
      <c r="K61" s="582"/>
      <c r="L61" s="478"/>
    </row>
    <row r="62" spans="1:12" x14ac:dyDescent="0.2">
      <c r="A62" s="478"/>
      <c r="B62" s="389"/>
      <c r="C62" s="575"/>
      <c r="D62" s="575"/>
      <c r="E62" s="575"/>
      <c r="F62" s="739"/>
      <c r="G62" s="8"/>
      <c r="H62" s="575"/>
      <c r="I62" s="8"/>
    </row>
    <row r="63" spans="1:12" ht="13.5" thickBot="1" x14ac:dyDescent="0.25">
      <c r="A63" s="478"/>
      <c r="B63" s="389"/>
      <c r="C63" s="575"/>
      <c r="D63" s="575"/>
      <c r="F63" s="478"/>
      <c r="G63" s="478"/>
      <c r="H63" s="478"/>
      <c r="I63" s="478"/>
      <c r="J63" s="772" t="s">
        <v>308</v>
      </c>
      <c r="K63" s="706"/>
      <c r="L63" s="478"/>
    </row>
    <row r="64" spans="1:12" x14ac:dyDescent="0.2">
      <c r="A64" s="478"/>
      <c r="B64" s="389"/>
      <c r="C64" s="575"/>
      <c r="D64" s="575"/>
      <c r="E64" s="575"/>
      <c r="F64" s="478"/>
      <c r="G64" s="478"/>
      <c r="H64" s="739"/>
      <c r="I64" s="575"/>
      <c r="J64" s="581" t="s">
        <v>155</v>
      </c>
      <c r="K64" s="708"/>
      <c r="L64" s="478"/>
    </row>
    <row r="65" spans="1:12" x14ac:dyDescent="0.2">
      <c r="A65" s="478"/>
      <c r="B65" s="478"/>
      <c r="C65" s="478"/>
      <c r="D65" s="739"/>
      <c r="E65" s="739"/>
      <c r="F65" s="478"/>
      <c r="G65" s="478"/>
      <c r="H65" s="478"/>
      <c r="I65" s="478"/>
      <c r="L65" s="478"/>
    </row>
    <row r="66" spans="1:12" ht="13.5" thickBot="1" x14ac:dyDescent="0.25">
      <c r="A66" s="478"/>
      <c r="B66" s="478"/>
      <c r="C66" s="478"/>
      <c r="D66" s="739"/>
      <c r="E66" s="739"/>
      <c r="F66" s="478"/>
      <c r="G66" s="478"/>
      <c r="H66" s="478"/>
      <c r="I66" s="478"/>
      <c r="J66" s="773" t="s">
        <v>298</v>
      </c>
      <c r="K66" s="706"/>
      <c r="L66" s="478"/>
    </row>
    <row r="67" spans="1:12" x14ac:dyDescent="0.2">
      <c r="A67" s="478"/>
      <c r="B67" s="478"/>
      <c r="C67" s="478"/>
      <c r="D67" s="739"/>
      <c r="E67" s="739"/>
      <c r="F67" s="478"/>
      <c r="G67" s="478"/>
      <c r="H67" s="478"/>
      <c r="I67" s="478"/>
      <c r="J67" s="584" t="s">
        <v>156</v>
      </c>
      <c r="K67" s="708"/>
      <c r="L67" s="478"/>
    </row>
    <row r="68" spans="1:12" x14ac:dyDescent="0.2">
      <c r="A68" s="478"/>
      <c r="B68" s="478"/>
      <c r="C68" s="478"/>
      <c r="D68" s="478"/>
      <c r="E68" s="478"/>
      <c r="F68" s="478"/>
      <c r="G68" s="478"/>
      <c r="H68" s="478"/>
      <c r="I68" s="478"/>
      <c r="J68" s="478"/>
      <c r="K68" s="478"/>
      <c r="L68" s="478"/>
    </row>
    <row r="69" spans="1:12" x14ac:dyDescent="0.2">
      <c r="A69" s="760">
        <v>1</v>
      </c>
      <c r="B69" s="32" t="s">
        <v>310</v>
      </c>
      <c r="C69" s="478"/>
      <c r="D69" s="478"/>
      <c r="E69" s="478"/>
      <c r="F69" s="478"/>
      <c r="G69" s="478"/>
      <c r="H69" s="478"/>
      <c r="I69" s="478"/>
      <c r="J69" s="478"/>
      <c r="K69" s="478"/>
      <c r="L69" s="478"/>
    </row>
    <row r="70" spans="1:12" x14ac:dyDescent="0.2">
      <c r="A70" s="760">
        <v>2</v>
      </c>
      <c r="B70" s="764" t="s">
        <v>507</v>
      </c>
      <c r="C70" s="478"/>
      <c r="D70" s="478"/>
      <c r="E70" s="478"/>
      <c r="F70" s="478"/>
      <c r="G70" s="478"/>
      <c r="H70" s="478"/>
      <c r="I70" s="478"/>
      <c r="J70" s="478"/>
      <c r="K70" s="478"/>
      <c r="L70" s="478"/>
    </row>
    <row r="71" spans="1:12" x14ac:dyDescent="0.2">
      <c r="A71" s="760">
        <v>3</v>
      </c>
      <c r="B71" s="774" t="s">
        <v>427</v>
      </c>
      <c r="C71" s="478"/>
      <c r="D71" s="478"/>
      <c r="E71" s="478"/>
      <c r="F71" s="478"/>
      <c r="G71" s="478"/>
      <c r="H71" s="478"/>
      <c r="I71" s="478"/>
      <c r="J71" s="478"/>
      <c r="K71" s="478"/>
      <c r="L71" s="478"/>
    </row>
    <row r="72" spans="1:12" x14ac:dyDescent="0.2">
      <c r="A72" s="760">
        <v>4</v>
      </c>
      <c r="B72" s="760" t="s">
        <v>307</v>
      </c>
      <c r="C72" s="478"/>
      <c r="D72" s="478"/>
      <c r="E72" s="478"/>
      <c r="F72" s="478"/>
      <c r="G72" s="478"/>
      <c r="H72" s="478"/>
      <c r="I72" s="478"/>
      <c r="J72" s="478"/>
      <c r="K72" s="478"/>
      <c r="L72" s="478"/>
    </row>
    <row r="73" spans="1:12" x14ac:dyDescent="0.2">
      <c r="A73" s="760">
        <v>5</v>
      </c>
      <c r="B73" s="760" t="s">
        <v>300</v>
      </c>
      <c r="C73" s="478"/>
      <c r="D73" s="478"/>
      <c r="E73" s="478"/>
      <c r="F73" s="478"/>
      <c r="G73" s="478"/>
      <c r="H73" s="478"/>
      <c r="I73" s="478"/>
      <c r="J73" s="478"/>
      <c r="K73" s="478"/>
      <c r="L73" s="478"/>
    </row>
    <row r="74" spans="1:12" x14ac:dyDescent="0.2">
      <c r="A74" s="760">
        <v>6</v>
      </c>
      <c r="B74" s="760" t="s">
        <v>301</v>
      </c>
      <c r="C74" s="478"/>
      <c r="D74" s="478"/>
      <c r="E74" s="478"/>
      <c r="F74" s="478"/>
      <c r="G74" s="478"/>
      <c r="H74" s="478"/>
      <c r="I74" s="478"/>
      <c r="J74" s="478"/>
      <c r="K74" s="478"/>
      <c r="L74" s="478"/>
    </row>
    <row r="75" spans="1:12" x14ac:dyDescent="0.2">
      <c r="A75" s="760">
        <v>7</v>
      </c>
      <c r="B75" s="760" t="s">
        <v>506</v>
      </c>
      <c r="C75" s="478"/>
      <c r="D75" s="478"/>
      <c r="E75" s="478"/>
      <c r="F75" s="478"/>
      <c r="G75" s="478"/>
      <c r="H75" s="478"/>
      <c r="I75" s="478"/>
      <c r="J75" s="478"/>
      <c r="K75" s="478"/>
      <c r="L75" s="478"/>
    </row>
    <row r="76" spans="1:12" x14ac:dyDescent="0.2">
      <c r="A76" s="760">
        <v>8</v>
      </c>
      <c r="B76" s="760" t="s">
        <v>308</v>
      </c>
      <c r="C76" s="478"/>
      <c r="D76" s="478"/>
      <c r="E76" s="478"/>
      <c r="F76" s="478"/>
      <c r="G76" s="478"/>
      <c r="H76" s="478"/>
      <c r="I76" s="478"/>
      <c r="J76" s="478"/>
      <c r="K76" s="478"/>
      <c r="L76" s="478"/>
    </row>
    <row r="77" spans="1:12" x14ac:dyDescent="0.2">
      <c r="A77" s="760">
        <v>9</v>
      </c>
      <c r="B77" s="760" t="s">
        <v>298</v>
      </c>
      <c r="C77" s="478"/>
      <c r="D77" s="478"/>
      <c r="E77" s="478"/>
      <c r="F77" s="478"/>
      <c r="G77" s="478"/>
      <c r="H77" s="478"/>
      <c r="I77" s="478"/>
      <c r="J77" s="478"/>
      <c r="K77" s="478"/>
      <c r="L77" s="478"/>
    </row>
    <row r="78" spans="1:12" x14ac:dyDescent="0.2">
      <c r="A78" s="478"/>
      <c r="B78" s="478"/>
      <c r="C78" s="478"/>
      <c r="D78" s="478"/>
      <c r="E78" s="478"/>
      <c r="F78" s="478"/>
      <c r="G78" s="478"/>
      <c r="H78" s="478"/>
      <c r="I78" s="478"/>
      <c r="J78" s="478"/>
      <c r="K78" s="478"/>
      <c r="L78" s="478"/>
    </row>
    <row r="79" spans="1:12" x14ac:dyDescent="0.2">
      <c r="A79" s="478"/>
      <c r="B79" s="478"/>
      <c r="C79" s="478"/>
      <c r="D79" s="478"/>
      <c r="E79" s="478"/>
      <c r="F79" s="478"/>
      <c r="G79" s="478"/>
      <c r="H79" s="478"/>
      <c r="I79" s="478"/>
      <c r="J79" s="478"/>
      <c r="K79" s="478"/>
      <c r="L79" s="478"/>
    </row>
  </sheetData>
  <conditionalFormatting sqref="B28:I56 H58:I58 I60:I61 F58 H64:I64 H60:H62 F60:F62">
    <cfRule type="cellIs" dxfId="95" priority="2" stopIfTrue="1" operator="equal">
      <formula>13</formula>
    </cfRule>
  </conditionalFormatting>
  <conditionalFormatting sqref="C9:G24">
    <cfRule type="cellIs" dxfId="94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24" max="16383" man="1"/>
    <brk id="5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94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3.28515625" style="277" customWidth="1"/>
    <col min="2" max="2" width="28.85546875" style="277" bestFit="1" customWidth="1"/>
    <col min="3" max="3" width="7.28515625" style="277" customWidth="1"/>
    <col min="4" max="4" width="7.42578125" style="277" bestFit="1" customWidth="1"/>
    <col min="5" max="5" width="9.140625" style="277"/>
    <col min="6" max="6" width="6.7109375" style="277" customWidth="1"/>
    <col min="7" max="7" width="5.140625" style="277" bestFit="1" customWidth="1"/>
    <col min="8" max="16384" width="9.140625" style="277"/>
  </cols>
  <sheetData>
    <row r="1" spans="1:11" s="12" customFormat="1" x14ac:dyDescent="0.2">
      <c r="A1" s="11" t="str">
        <f>UPPER((Kalend!E37)&amp;" - "&amp;(Kalend!C37)&amp;" - "&amp;(Kalend!D37))</f>
        <v>11 - IDA-VIRUMAA MV - DUO</v>
      </c>
      <c r="G1" s="297" t="str">
        <f>HYPERLINK("#Kalend!I1","Kalender")</f>
        <v>Kalender</v>
      </c>
      <c r="H1" s="478"/>
      <c r="I1" s="297" t="str">
        <f>HYPERLINK("#Reit!G1","Reiting")</f>
        <v>Reiting</v>
      </c>
      <c r="J1" s="478"/>
      <c r="K1" s="478"/>
    </row>
    <row r="2" spans="1:11" s="12" customFormat="1" x14ac:dyDescent="0.2">
      <c r="A2" s="9" t="str">
        <f>"Toimumisaeg: "&amp;(Kalend!A37)&amp;" kell "&amp;(Kalend!B37)</f>
        <v>Toimumisaeg: P, 11.09.2016 kell 11:00</v>
      </c>
    </row>
    <row r="3" spans="1:11" s="12" customFormat="1" x14ac:dyDescent="0.2">
      <c r="A3" s="9" t="str">
        <f>"Toimumiskoht: "&amp;(Kalend!F37)</f>
        <v>Toimumiskoht: K-Nõmme, Eesti Kaevandusmuuseum</v>
      </c>
    </row>
    <row r="4" spans="1:11" s="12" customFormat="1" x14ac:dyDescent="0.2">
      <c r="A4" s="9" t="str">
        <f>"Korraldaja: "&amp;(Kalend!G37)</f>
        <v xml:space="preserve">Korraldaja: </v>
      </c>
    </row>
    <row r="5" spans="1:11" s="12" customFormat="1" x14ac:dyDescent="0.2">
      <c r="A5" s="273"/>
      <c r="B5" s="274"/>
      <c r="C5" s="275"/>
      <c r="D5" s="275"/>
      <c r="E5" s="275"/>
      <c r="F5" s="275"/>
      <c r="G5" s="276"/>
    </row>
    <row r="6" spans="1:11" s="845" customFormat="1" x14ac:dyDescent="0.2">
      <c r="A6" s="30" t="s">
        <v>271</v>
      </c>
      <c r="B6" s="30"/>
      <c r="C6" s="381" t="s">
        <v>272</v>
      </c>
      <c r="D6" s="381" t="s">
        <v>273</v>
      </c>
      <c r="E6" s="381" t="s">
        <v>274</v>
      </c>
      <c r="F6" s="381" t="s">
        <v>275</v>
      </c>
      <c r="G6" s="381" t="s">
        <v>86</v>
      </c>
    </row>
    <row r="7" spans="1:11" s="845" customFormat="1" x14ac:dyDescent="0.2">
      <c r="A7" s="30">
        <v>1</v>
      </c>
      <c r="B7" s="874" t="s">
        <v>307</v>
      </c>
      <c r="C7" s="382">
        <v>13</v>
      </c>
      <c r="D7" s="382">
        <v>13</v>
      </c>
      <c r="E7" s="382"/>
      <c r="F7" s="382"/>
      <c r="G7" s="875" t="s">
        <v>259</v>
      </c>
    </row>
    <row r="8" spans="1:11" s="845" customFormat="1" x14ac:dyDescent="0.2">
      <c r="A8" s="30">
        <v>2</v>
      </c>
      <c r="B8" s="874" t="s">
        <v>427</v>
      </c>
      <c r="C8" s="382">
        <v>13</v>
      </c>
      <c r="D8" s="382">
        <v>12</v>
      </c>
      <c r="E8" s="382"/>
      <c r="F8" s="382">
        <v>13</v>
      </c>
      <c r="G8" s="875" t="s">
        <v>146</v>
      </c>
    </row>
    <row r="9" spans="1:11" s="845" customFormat="1" x14ac:dyDescent="0.2">
      <c r="A9" s="30">
        <v>3</v>
      </c>
      <c r="B9" s="874" t="s">
        <v>552</v>
      </c>
      <c r="C9" s="382">
        <v>2</v>
      </c>
      <c r="D9" s="382"/>
      <c r="E9" s="382">
        <v>13</v>
      </c>
      <c r="F9" s="382">
        <v>1</v>
      </c>
      <c r="G9" s="875" t="s">
        <v>260</v>
      </c>
    </row>
    <row r="10" spans="1:11" s="845" customFormat="1" x14ac:dyDescent="0.2">
      <c r="A10" s="30">
        <v>4</v>
      </c>
      <c r="B10" s="760"/>
      <c r="C10" s="382">
        <v>0</v>
      </c>
      <c r="D10" s="382"/>
      <c r="E10" s="382">
        <v>0</v>
      </c>
      <c r="F10" s="382"/>
      <c r="G10" s="867"/>
    </row>
    <row r="11" spans="1:11" s="845" customFormat="1" x14ac:dyDescent="0.2">
      <c r="A11" s="23"/>
      <c r="B11" s="8"/>
      <c r="C11" s="384"/>
      <c r="D11" s="384"/>
      <c r="E11" s="384"/>
      <c r="F11" s="275"/>
      <c r="G11" s="385"/>
    </row>
    <row r="12" spans="1:11" s="845" customFormat="1" x14ac:dyDescent="0.2">
      <c r="A12" s="30" t="s">
        <v>276</v>
      </c>
      <c r="B12" s="30"/>
      <c r="C12" s="381" t="s">
        <v>272</v>
      </c>
      <c r="D12" s="381" t="s">
        <v>273</v>
      </c>
      <c r="E12" s="381" t="s">
        <v>274</v>
      </c>
      <c r="F12" s="381" t="s">
        <v>275</v>
      </c>
      <c r="G12" s="381" t="s">
        <v>86</v>
      </c>
    </row>
    <row r="13" spans="1:11" s="845" customFormat="1" x14ac:dyDescent="0.2">
      <c r="A13" s="30">
        <v>1</v>
      </c>
      <c r="B13" s="874" t="s">
        <v>308</v>
      </c>
      <c r="C13" s="382">
        <v>13</v>
      </c>
      <c r="D13" s="382">
        <v>13</v>
      </c>
      <c r="E13" s="382"/>
      <c r="F13" s="382"/>
      <c r="G13" s="875" t="s">
        <v>259</v>
      </c>
    </row>
    <row r="14" spans="1:11" s="845" customFormat="1" x14ac:dyDescent="0.2">
      <c r="A14" s="30">
        <v>2</v>
      </c>
      <c r="B14" s="874" t="s">
        <v>298</v>
      </c>
      <c r="C14" s="382">
        <v>13</v>
      </c>
      <c r="D14" s="382">
        <v>6</v>
      </c>
      <c r="E14" s="382"/>
      <c r="F14" s="382">
        <v>4</v>
      </c>
      <c r="G14" s="875" t="s">
        <v>260</v>
      </c>
    </row>
    <row r="15" spans="1:11" s="845" customFormat="1" x14ac:dyDescent="0.2">
      <c r="A15" s="30">
        <v>3</v>
      </c>
      <c r="B15" s="874" t="s">
        <v>301</v>
      </c>
      <c r="C15" s="382">
        <v>7</v>
      </c>
      <c r="D15" s="382"/>
      <c r="E15" s="382">
        <v>13</v>
      </c>
      <c r="F15" s="382">
        <v>13</v>
      </c>
      <c r="G15" s="875" t="s">
        <v>146</v>
      </c>
    </row>
    <row r="16" spans="1:11" s="845" customFormat="1" x14ac:dyDescent="0.2">
      <c r="A16" s="30">
        <v>4</v>
      </c>
      <c r="B16" s="671"/>
      <c r="C16" s="382">
        <v>0</v>
      </c>
      <c r="D16" s="382"/>
      <c r="E16" s="382">
        <v>0</v>
      </c>
      <c r="F16" s="382"/>
      <c r="G16" s="867"/>
    </row>
    <row r="17" spans="1:11" s="845" customFormat="1" x14ac:dyDescent="0.2">
      <c r="A17" s="23"/>
      <c r="B17" s="8"/>
      <c r="C17" s="384"/>
      <c r="D17" s="384"/>
      <c r="E17" s="384"/>
      <c r="F17" s="275"/>
      <c r="G17" s="385"/>
    </row>
    <row r="18" spans="1:11" s="845" customFormat="1" x14ac:dyDescent="0.2">
      <c r="A18" s="30" t="s">
        <v>299</v>
      </c>
      <c r="B18" s="30"/>
      <c r="C18" s="381" t="s">
        <v>272</v>
      </c>
      <c r="D18" s="381" t="s">
        <v>273</v>
      </c>
      <c r="E18" s="381" t="s">
        <v>274</v>
      </c>
      <c r="F18" s="381" t="s">
        <v>275</v>
      </c>
      <c r="G18" s="381" t="s">
        <v>86</v>
      </c>
    </row>
    <row r="19" spans="1:11" s="845" customFormat="1" x14ac:dyDescent="0.2">
      <c r="A19" s="30">
        <v>1</v>
      </c>
      <c r="B19" s="874" t="s">
        <v>553</v>
      </c>
      <c r="C19" s="382">
        <v>13</v>
      </c>
      <c r="D19" s="382">
        <v>13</v>
      </c>
      <c r="E19" s="382"/>
      <c r="F19" s="382"/>
      <c r="G19" s="875" t="s">
        <v>259</v>
      </c>
    </row>
    <row r="20" spans="1:11" s="845" customFormat="1" x14ac:dyDescent="0.2">
      <c r="A20" s="30">
        <v>2</v>
      </c>
      <c r="B20" s="874" t="s">
        <v>554</v>
      </c>
      <c r="C20" s="382">
        <v>7</v>
      </c>
      <c r="D20" s="382"/>
      <c r="E20" s="382">
        <v>13</v>
      </c>
      <c r="F20" s="382">
        <v>5</v>
      </c>
      <c r="G20" s="875" t="s">
        <v>260</v>
      </c>
    </row>
    <row r="21" spans="1:11" s="845" customFormat="1" x14ac:dyDescent="0.2">
      <c r="A21" s="30">
        <v>3</v>
      </c>
      <c r="B21" s="874" t="s">
        <v>306</v>
      </c>
      <c r="C21" s="382">
        <v>13</v>
      </c>
      <c r="D21" s="382">
        <v>5</v>
      </c>
      <c r="E21" s="382"/>
      <c r="F21" s="382">
        <v>13</v>
      </c>
      <c r="G21" s="875" t="s">
        <v>146</v>
      </c>
    </row>
    <row r="22" spans="1:11" s="845" customFormat="1" x14ac:dyDescent="0.2">
      <c r="A22" s="30">
        <v>4</v>
      </c>
      <c r="B22" s="766"/>
      <c r="C22" s="382">
        <v>0</v>
      </c>
      <c r="D22" s="382"/>
      <c r="E22" s="382">
        <v>0</v>
      </c>
      <c r="F22" s="382"/>
      <c r="G22" s="867"/>
    </row>
    <row r="23" spans="1:11" s="845" customFormat="1" x14ac:dyDescent="0.2">
      <c r="A23" s="273"/>
      <c r="B23" s="274"/>
      <c r="C23" s="275"/>
      <c r="D23" s="275"/>
      <c r="E23" s="275"/>
      <c r="F23" s="275"/>
      <c r="G23" s="276"/>
    </row>
    <row r="24" spans="1:11" s="845" customFormat="1" x14ac:dyDescent="0.2">
      <c r="A24" s="30" t="s">
        <v>369</v>
      </c>
      <c r="B24" s="30"/>
      <c r="C24" s="381" t="s">
        <v>272</v>
      </c>
      <c r="D24" s="381" t="s">
        <v>273</v>
      </c>
      <c r="E24" s="381" t="s">
        <v>274</v>
      </c>
      <c r="F24" s="381" t="s">
        <v>275</v>
      </c>
      <c r="G24" s="381" t="s">
        <v>86</v>
      </c>
    </row>
    <row r="25" spans="1:11" s="845" customFormat="1" x14ac:dyDescent="0.2">
      <c r="A25" s="30">
        <v>1</v>
      </c>
      <c r="B25" s="874" t="s">
        <v>507</v>
      </c>
      <c r="C25" s="382">
        <v>13</v>
      </c>
      <c r="D25" s="382">
        <v>8</v>
      </c>
      <c r="E25" s="382"/>
      <c r="F25" s="382">
        <v>12</v>
      </c>
      <c r="G25" s="875" t="s">
        <v>260</v>
      </c>
    </row>
    <row r="26" spans="1:11" s="845" customFormat="1" x14ac:dyDescent="0.2">
      <c r="A26" s="30">
        <v>2</v>
      </c>
      <c r="B26" s="874" t="s">
        <v>300</v>
      </c>
      <c r="C26" s="382">
        <v>13</v>
      </c>
      <c r="D26" s="382">
        <v>13</v>
      </c>
      <c r="E26" s="382"/>
      <c r="F26" s="382"/>
      <c r="G26" s="875" t="s">
        <v>259</v>
      </c>
    </row>
    <row r="27" spans="1:11" s="845" customFormat="1" x14ac:dyDescent="0.2">
      <c r="A27" s="30">
        <v>3</v>
      </c>
      <c r="B27" s="874" t="s">
        <v>555</v>
      </c>
      <c r="C27" s="382">
        <v>2</v>
      </c>
      <c r="D27" s="382"/>
      <c r="E27" s="382">
        <v>13</v>
      </c>
      <c r="F27" s="382">
        <v>13</v>
      </c>
      <c r="G27" s="875" t="s">
        <v>146</v>
      </c>
    </row>
    <row r="28" spans="1:11" s="845" customFormat="1" x14ac:dyDescent="0.2">
      <c r="A28" s="30">
        <v>4</v>
      </c>
      <c r="B28" s="766"/>
      <c r="C28" s="382">
        <v>0</v>
      </c>
      <c r="D28" s="382"/>
      <c r="E28" s="382">
        <v>0</v>
      </c>
      <c r="F28" s="382"/>
      <c r="G28" s="867"/>
    </row>
    <row r="29" spans="1:11" s="845" customFormat="1" x14ac:dyDescent="0.2">
      <c r="A29" s="273"/>
      <c r="B29" s="274"/>
      <c r="C29" s="275"/>
      <c r="D29" s="275"/>
      <c r="E29" s="275"/>
      <c r="F29" s="275"/>
      <c r="G29" s="276"/>
    </row>
    <row r="30" spans="1:11" s="845" customFormat="1" x14ac:dyDescent="0.2">
      <c r="A30" s="386" t="s">
        <v>245</v>
      </c>
      <c r="B30" s="769"/>
      <c r="C30" s="769"/>
      <c r="D30" s="769"/>
      <c r="E30" s="769"/>
      <c r="F30" s="769"/>
      <c r="G30" s="769"/>
      <c r="K30" s="769"/>
    </row>
    <row r="31" spans="1:11" s="845" customFormat="1" x14ac:dyDescent="0.2">
      <c r="A31" s="386"/>
      <c r="B31" s="769"/>
      <c r="C31" s="769"/>
      <c r="D31" s="769"/>
      <c r="E31" s="769"/>
      <c r="F31" s="769"/>
      <c r="G31" s="769"/>
      <c r="K31" s="769"/>
    </row>
    <row r="32" spans="1:11" s="845" customFormat="1" x14ac:dyDescent="0.2">
      <c r="A32" s="425" t="s">
        <v>248</v>
      </c>
      <c r="B32" s="876" t="s">
        <v>300</v>
      </c>
      <c r="C32" s="623">
        <v>9</v>
      </c>
      <c r="D32" s="769"/>
      <c r="E32" s="769"/>
      <c r="F32" s="769"/>
      <c r="G32" s="769"/>
      <c r="H32" s="769"/>
      <c r="I32" s="769"/>
      <c r="J32" s="769"/>
      <c r="K32" s="769"/>
    </row>
    <row r="33" spans="1:11" s="845" customFormat="1" x14ac:dyDescent="0.2">
      <c r="A33" s="427"/>
      <c r="B33" s="428"/>
      <c r="C33" s="687" t="s">
        <v>427</v>
      </c>
      <c r="D33" s="770"/>
      <c r="E33" s="769"/>
      <c r="F33" s="623">
        <v>12</v>
      </c>
      <c r="G33" s="769"/>
      <c r="H33" s="769"/>
      <c r="I33" s="769"/>
      <c r="J33" s="769"/>
      <c r="K33" s="769"/>
    </row>
    <row r="34" spans="1:11" s="845" customFormat="1" x14ac:dyDescent="0.2">
      <c r="A34" s="425" t="s">
        <v>252</v>
      </c>
      <c r="B34" s="768" t="s">
        <v>427</v>
      </c>
      <c r="C34" s="449">
        <v>13</v>
      </c>
      <c r="D34" s="769"/>
      <c r="E34" s="434"/>
      <c r="F34" s="769"/>
      <c r="G34" s="769"/>
      <c r="H34" s="769"/>
      <c r="I34" s="769"/>
      <c r="J34" s="769"/>
      <c r="K34" s="769"/>
    </row>
    <row r="35" spans="1:11" s="845" customFormat="1" x14ac:dyDescent="0.2">
      <c r="A35" s="427"/>
      <c r="B35" s="769"/>
      <c r="C35" s="769"/>
      <c r="D35" s="435"/>
      <c r="E35" s="436"/>
      <c r="F35" s="769" t="s">
        <v>301</v>
      </c>
      <c r="G35" s="769"/>
      <c r="H35" s="769"/>
      <c r="I35" s="623">
        <v>8</v>
      </c>
      <c r="J35" s="769"/>
      <c r="K35" s="769"/>
    </row>
    <row r="36" spans="1:11" s="845" customFormat="1" x14ac:dyDescent="0.2">
      <c r="A36" s="425" t="s">
        <v>249</v>
      </c>
      <c r="B36" s="437" t="s">
        <v>553</v>
      </c>
      <c r="C36" s="622">
        <v>2</v>
      </c>
      <c r="D36" s="769"/>
      <c r="E36" s="436"/>
      <c r="F36" s="428"/>
      <c r="G36" s="428"/>
      <c r="H36" s="434"/>
      <c r="I36" s="769"/>
      <c r="J36" s="769"/>
      <c r="K36" s="769"/>
    </row>
    <row r="37" spans="1:11" s="845" customFormat="1" x14ac:dyDescent="0.2">
      <c r="A37" s="427"/>
      <c r="B37" s="428"/>
      <c r="C37" s="759" t="s">
        <v>301</v>
      </c>
      <c r="D37" s="769"/>
      <c r="E37" s="440"/>
      <c r="F37" s="622">
        <v>13</v>
      </c>
      <c r="G37" s="435"/>
      <c r="H37" s="436"/>
      <c r="I37" s="769"/>
      <c r="J37" s="769"/>
      <c r="K37" s="769"/>
    </row>
    <row r="38" spans="1:11" s="845" customFormat="1" x14ac:dyDescent="0.2">
      <c r="A38" s="425" t="s">
        <v>251</v>
      </c>
      <c r="B38" s="768" t="s">
        <v>301</v>
      </c>
      <c r="C38" s="442">
        <v>13</v>
      </c>
      <c r="D38" s="428"/>
      <c r="E38" s="769"/>
      <c r="F38" s="435"/>
      <c r="G38" s="435"/>
      <c r="H38" s="436"/>
      <c r="I38" s="769"/>
      <c r="J38" s="769"/>
      <c r="K38" s="769"/>
    </row>
    <row r="39" spans="1:11" s="845" customFormat="1" ht="13.5" thickBot="1" x14ac:dyDescent="0.25">
      <c r="A39" s="427"/>
      <c r="B39" s="769"/>
      <c r="C39" s="769"/>
      <c r="D39" s="769"/>
      <c r="E39" s="769"/>
      <c r="F39" s="435"/>
      <c r="G39" s="435"/>
      <c r="H39" s="436"/>
      <c r="I39" s="769"/>
      <c r="J39" s="769" t="s">
        <v>308</v>
      </c>
      <c r="K39" s="769"/>
    </row>
    <row r="40" spans="1:11" s="845" customFormat="1" x14ac:dyDescent="0.2">
      <c r="A40" s="425" t="s">
        <v>247</v>
      </c>
      <c r="B40" s="769" t="s">
        <v>307</v>
      </c>
      <c r="C40" s="623">
        <v>13</v>
      </c>
      <c r="D40" s="769"/>
      <c r="E40" s="769"/>
      <c r="F40" s="435"/>
      <c r="G40" s="435"/>
      <c r="H40" s="436"/>
      <c r="I40" s="443"/>
      <c r="J40" s="444" t="s">
        <v>148</v>
      </c>
      <c r="K40" s="445"/>
    </row>
    <row r="41" spans="1:11" s="845" customFormat="1" x14ac:dyDescent="0.2">
      <c r="A41" s="427"/>
      <c r="B41" s="428"/>
      <c r="C41" s="687" t="s">
        <v>307</v>
      </c>
      <c r="D41" s="770"/>
      <c r="E41" s="769"/>
      <c r="F41" s="622">
        <v>12</v>
      </c>
      <c r="G41" s="435"/>
      <c r="H41" s="436"/>
      <c r="I41" s="769"/>
      <c r="J41" s="769"/>
      <c r="K41" s="769"/>
    </row>
    <row r="42" spans="1:11" s="845" customFormat="1" ht="13.5" thickBot="1" x14ac:dyDescent="0.25">
      <c r="A42" s="425" t="s">
        <v>254</v>
      </c>
      <c r="B42" s="770" t="s">
        <v>306</v>
      </c>
      <c r="C42" s="449">
        <v>8</v>
      </c>
      <c r="D42" s="769"/>
      <c r="E42" s="434"/>
      <c r="F42" s="435"/>
      <c r="G42" s="435"/>
      <c r="H42" s="436"/>
      <c r="I42" s="769"/>
      <c r="J42" s="700" t="s">
        <v>301</v>
      </c>
      <c r="K42" s="700"/>
    </row>
    <row r="43" spans="1:11" s="845" customFormat="1" x14ac:dyDescent="0.2">
      <c r="A43" s="427"/>
      <c r="B43" s="769"/>
      <c r="C43" s="769"/>
      <c r="D43" s="435"/>
      <c r="E43" s="436"/>
      <c r="F43" s="770" t="s">
        <v>308</v>
      </c>
      <c r="G43" s="770"/>
      <c r="H43" s="440"/>
      <c r="I43" s="623">
        <v>13</v>
      </c>
      <c r="J43" s="444" t="s">
        <v>149</v>
      </c>
      <c r="K43" s="769"/>
    </row>
    <row r="44" spans="1:11" s="845" customFormat="1" x14ac:dyDescent="0.2">
      <c r="A44" s="425" t="s">
        <v>246</v>
      </c>
      <c r="B44" s="769" t="s">
        <v>308</v>
      </c>
      <c r="C44" s="622">
        <v>13</v>
      </c>
      <c r="D44" s="769"/>
      <c r="E44" s="436"/>
      <c r="F44" s="769"/>
      <c r="G44" s="769"/>
      <c r="H44" s="769"/>
      <c r="I44" s="769"/>
      <c r="J44" s="769"/>
      <c r="K44" s="769"/>
    </row>
    <row r="45" spans="1:11" s="845" customFormat="1" x14ac:dyDescent="0.2">
      <c r="A45" s="427"/>
      <c r="B45" s="428"/>
      <c r="C45" s="759" t="s">
        <v>308</v>
      </c>
      <c r="D45" s="769"/>
      <c r="E45" s="440"/>
      <c r="F45" s="623">
        <v>13</v>
      </c>
      <c r="G45" s="769"/>
      <c r="H45" s="769"/>
      <c r="I45" s="769"/>
      <c r="J45" s="769"/>
      <c r="K45" s="769"/>
    </row>
    <row r="46" spans="1:11" s="845" customFormat="1" x14ac:dyDescent="0.2">
      <c r="A46" s="425" t="s">
        <v>253</v>
      </c>
      <c r="B46" s="770" t="s">
        <v>555</v>
      </c>
      <c r="C46" s="442">
        <v>8</v>
      </c>
      <c r="D46" s="428"/>
      <c r="E46" s="769"/>
      <c r="F46" s="769"/>
      <c r="G46" s="769"/>
      <c r="H46" s="769"/>
      <c r="I46" s="769"/>
      <c r="J46" s="769"/>
      <c r="K46" s="769"/>
    </row>
    <row r="47" spans="1:11" s="845" customFormat="1" x14ac:dyDescent="0.2">
      <c r="A47" s="769"/>
      <c r="B47" s="769"/>
      <c r="C47" s="769"/>
      <c r="D47" s="769"/>
      <c r="E47" s="769"/>
      <c r="F47" s="769" t="s">
        <v>427</v>
      </c>
      <c r="G47" s="769"/>
      <c r="H47" s="769"/>
      <c r="I47" s="622">
        <v>13</v>
      </c>
      <c r="J47" s="435"/>
      <c r="K47" s="435"/>
    </row>
    <row r="48" spans="1:11" s="845" customFormat="1" ht="13.5" thickBot="1" x14ac:dyDescent="0.25">
      <c r="A48" s="769"/>
      <c r="B48" s="769"/>
      <c r="C48" s="769"/>
      <c r="D48" s="769"/>
      <c r="E48" s="769"/>
      <c r="F48" s="428"/>
      <c r="G48" s="428"/>
      <c r="H48" s="434"/>
      <c r="I48" s="700"/>
      <c r="J48" s="700" t="s">
        <v>427</v>
      </c>
      <c r="K48" s="700"/>
    </row>
    <row r="49" spans="1:11" s="845" customFormat="1" x14ac:dyDescent="0.2">
      <c r="A49" s="769"/>
      <c r="B49" s="769"/>
      <c r="C49" s="769"/>
      <c r="D49" s="769"/>
      <c r="E49" s="769"/>
      <c r="F49" s="770" t="s">
        <v>307</v>
      </c>
      <c r="G49" s="770"/>
      <c r="H49" s="440"/>
      <c r="I49" s="623">
        <v>2</v>
      </c>
      <c r="J49" s="447" t="s">
        <v>150</v>
      </c>
      <c r="K49" s="435"/>
    </row>
    <row r="50" spans="1:11" s="845" customFormat="1" x14ac:dyDescent="0.2">
      <c r="A50" s="769"/>
      <c r="B50" s="769"/>
      <c r="C50" s="769"/>
      <c r="D50" s="769"/>
      <c r="E50" s="769"/>
      <c r="F50" s="769"/>
      <c r="G50" s="769"/>
      <c r="H50" s="769"/>
      <c r="I50" s="769"/>
      <c r="J50" s="435"/>
      <c r="K50" s="435"/>
    </row>
    <row r="51" spans="1:11" s="845" customFormat="1" ht="13.5" thickBot="1" x14ac:dyDescent="0.25">
      <c r="A51" s="769"/>
      <c r="B51" s="769"/>
      <c r="C51" s="769"/>
      <c r="D51" s="769"/>
      <c r="E51" s="769"/>
      <c r="F51" s="769"/>
      <c r="G51" s="435"/>
      <c r="H51" s="435"/>
      <c r="I51" s="769"/>
      <c r="J51" s="700" t="s">
        <v>307</v>
      </c>
      <c r="K51" s="700"/>
    </row>
    <row r="52" spans="1:11" s="245" customFormat="1" x14ac:dyDescent="0.2">
      <c r="A52" s="769"/>
      <c r="B52" s="769"/>
      <c r="C52" s="769" t="s">
        <v>300</v>
      </c>
      <c r="D52" s="769"/>
      <c r="E52" s="769"/>
      <c r="F52" s="623">
        <v>4</v>
      </c>
      <c r="G52" s="769"/>
      <c r="H52" s="769"/>
      <c r="I52" s="769"/>
      <c r="J52" s="448" t="s">
        <v>151</v>
      </c>
      <c r="K52" s="769"/>
    </row>
    <row r="53" spans="1:11" s="245" customFormat="1" x14ac:dyDescent="0.2">
      <c r="A53" s="769"/>
      <c r="B53" s="769"/>
      <c r="C53" s="428"/>
      <c r="D53" s="428"/>
      <c r="E53" s="434"/>
      <c r="F53" s="687" t="s">
        <v>553</v>
      </c>
      <c r="G53" s="770"/>
      <c r="H53" s="770"/>
      <c r="I53" s="623">
        <v>13</v>
      </c>
      <c r="J53" s="769"/>
      <c r="K53" s="769"/>
    </row>
    <row r="54" spans="1:11" s="245" customFormat="1" x14ac:dyDescent="0.2">
      <c r="A54" s="769"/>
      <c r="B54" s="769"/>
      <c r="C54" s="770" t="s">
        <v>553</v>
      </c>
      <c r="D54" s="770"/>
      <c r="E54" s="440"/>
      <c r="F54" s="449">
        <v>13</v>
      </c>
      <c r="G54" s="769"/>
      <c r="H54" s="436"/>
      <c r="I54" s="769"/>
      <c r="J54" s="769"/>
      <c r="K54" s="769"/>
    </row>
    <row r="55" spans="1:11" s="245" customFormat="1" ht="13.5" thickBot="1" x14ac:dyDescent="0.25">
      <c r="A55" s="769"/>
      <c r="B55" s="769"/>
      <c r="C55" s="769"/>
      <c r="D55" s="769"/>
      <c r="E55" s="769"/>
      <c r="F55" s="435"/>
      <c r="G55" s="769"/>
      <c r="H55" s="436"/>
      <c r="I55" s="769"/>
      <c r="J55" s="769" t="s">
        <v>553</v>
      </c>
      <c r="K55" s="769"/>
    </row>
    <row r="56" spans="1:11" s="245" customFormat="1" x14ac:dyDescent="0.2">
      <c r="A56" s="769"/>
      <c r="B56" s="769"/>
      <c r="C56" s="769" t="s">
        <v>306</v>
      </c>
      <c r="D56" s="769"/>
      <c r="E56" s="769"/>
      <c r="F56" s="622">
        <v>13</v>
      </c>
      <c r="G56" s="769"/>
      <c r="H56" s="436"/>
      <c r="I56" s="443"/>
      <c r="J56" s="444" t="s">
        <v>152</v>
      </c>
      <c r="K56" s="445"/>
    </row>
    <row r="57" spans="1:11" s="245" customFormat="1" x14ac:dyDescent="0.2">
      <c r="A57" s="769"/>
      <c r="B57" s="769"/>
      <c r="C57" s="428"/>
      <c r="D57" s="428"/>
      <c r="E57" s="434"/>
      <c r="F57" s="759" t="s">
        <v>306</v>
      </c>
      <c r="G57" s="769"/>
      <c r="H57" s="440"/>
      <c r="I57" s="622">
        <v>6</v>
      </c>
      <c r="J57" s="769"/>
      <c r="K57" s="769"/>
    </row>
    <row r="58" spans="1:11" s="245" customFormat="1" ht="13.5" thickBot="1" x14ac:dyDescent="0.25">
      <c r="A58" s="769"/>
      <c r="B58" s="769"/>
      <c r="C58" s="770" t="s">
        <v>555</v>
      </c>
      <c r="D58" s="770"/>
      <c r="E58" s="440"/>
      <c r="F58" s="442">
        <v>12</v>
      </c>
      <c r="G58" s="428"/>
      <c r="H58" s="769"/>
      <c r="I58" s="435"/>
      <c r="J58" s="435" t="s">
        <v>306</v>
      </c>
      <c r="K58" s="700"/>
    </row>
    <row r="59" spans="1:11" s="245" customFormat="1" x14ac:dyDescent="0.2">
      <c r="A59" s="769"/>
      <c r="B59" s="769"/>
      <c r="C59" s="769"/>
      <c r="D59" s="769"/>
      <c r="E59" s="769"/>
      <c r="F59" s="769"/>
      <c r="G59" s="769"/>
      <c r="H59" s="769"/>
      <c r="I59" s="435"/>
      <c r="J59" s="444" t="s">
        <v>153</v>
      </c>
      <c r="K59" s="435"/>
    </row>
    <row r="60" spans="1:11" s="245" customFormat="1" x14ac:dyDescent="0.2">
      <c r="A60" s="769"/>
      <c r="B60" s="769"/>
      <c r="C60" s="769"/>
      <c r="D60" s="769"/>
      <c r="E60" s="769"/>
      <c r="F60" s="769" t="s">
        <v>300</v>
      </c>
      <c r="G60" s="769"/>
      <c r="H60" s="769"/>
      <c r="I60" s="622">
        <v>13</v>
      </c>
      <c r="J60" s="435"/>
      <c r="K60" s="435"/>
    </row>
    <row r="61" spans="1:11" s="245" customFormat="1" ht="13.5" thickBot="1" x14ac:dyDescent="0.25">
      <c r="A61" s="769"/>
      <c r="B61" s="769"/>
      <c r="C61" s="769"/>
      <c r="D61" s="769"/>
      <c r="E61" s="769"/>
      <c r="F61" s="428"/>
      <c r="G61" s="428"/>
      <c r="H61" s="434"/>
      <c r="I61" s="700"/>
      <c r="J61" s="700" t="s">
        <v>300</v>
      </c>
      <c r="K61" s="700"/>
    </row>
    <row r="62" spans="1:11" s="245" customFormat="1" x14ac:dyDescent="0.2">
      <c r="A62" s="769"/>
      <c r="B62" s="769"/>
      <c r="C62" s="769"/>
      <c r="D62" s="769"/>
      <c r="E62" s="769"/>
      <c r="F62" s="770" t="s">
        <v>555</v>
      </c>
      <c r="G62" s="770"/>
      <c r="H62" s="440"/>
      <c r="I62" s="623">
        <v>6</v>
      </c>
      <c r="J62" s="447" t="s">
        <v>154</v>
      </c>
      <c r="K62" s="435"/>
    </row>
    <row r="63" spans="1:11" x14ac:dyDescent="0.2">
      <c r="A63" s="769"/>
      <c r="B63" s="769"/>
      <c r="C63" s="769"/>
      <c r="D63" s="769"/>
      <c r="E63" s="769"/>
      <c r="F63" s="769"/>
      <c r="G63" s="769"/>
      <c r="H63" s="769"/>
      <c r="I63" s="769"/>
      <c r="J63" s="435"/>
      <c r="K63" s="435"/>
    </row>
    <row r="64" spans="1:11" ht="13.5" thickBot="1" x14ac:dyDescent="0.25">
      <c r="A64" s="769"/>
      <c r="B64" s="769"/>
      <c r="C64" s="769"/>
      <c r="D64" s="769"/>
      <c r="E64" s="769"/>
      <c r="F64" s="769"/>
      <c r="G64" s="435"/>
      <c r="H64" s="435"/>
      <c r="I64" s="769"/>
      <c r="J64" s="700" t="s">
        <v>555</v>
      </c>
      <c r="K64" s="700"/>
    </row>
    <row r="65" spans="1:11" x14ac:dyDescent="0.2">
      <c r="A65" s="769"/>
      <c r="B65" s="769"/>
      <c r="C65" s="769"/>
      <c r="D65" s="769"/>
      <c r="E65" s="769"/>
      <c r="F65" s="769"/>
      <c r="G65" s="435"/>
      <c r="H65" s="435"/>
      <c r="I65" s="769"/>
      <c r="J65" s="448" t="s">
        <v>155</v>
      </c>
      <c r="K65" s="769"/>
    </row>
    <row r="66" spans="1:11" x14ac:dyDescent="0.2">
      <c r="A66" s="873" t="s">
        <v>182</v>
      </c>
    </row>
    <row r="67" spans="1:11" x14ac:dyDescent="0.2">
      <c r="A67" s="873"/>
    </row>
    <row r="68" spans="1:11" x14ac:dyDescent="0.2">
      <c r="C68" s="877" t="s">
        <v>268</v>
      </c>
      <c r="D68" s="772" t="s">
        <v>507</v>
      </c>
      <c r="E68" s="704"/>
      <c r="F68" s="704"/>
      <c r="G68" s="739">
        <v>13</v>
      </c>
      <c r="H68" s="704"/>
      <c r="I68" s="704"/>
      <c r="J68" s="704"/>
      <c r="K68" s="704"/>
    </row>
    <row r="69" spans="1:11" x14ac:dyDescent="0.2">
      <c r="D69" s="568"/>
      <c r="E69" s="568"/>
      <c r="F69" s="572"/>
      <c r="G69" s="603" t="s">
        <v>507</v>
      </c>
      <c r="H69" s="704"/>
      <c r="I69" s="739">
        <v>10</v>
      </c>
      <c r="J69" s="704"/>
      <c r="K69" s="704"/>
    </row>
    <row r="70" spans="1:11" x14ac:dyDescent="0.2">
      <c r="C70" s="877" t="s">
        <v>267</v>
      </c>
      <c r="D70" s="705" t="s">
        <v>554</v>
      </c>
      <c r="E70" s="705"/>
      <c r="F70" s="577"/>
      <c r="G70" s="578">
        <v>4</v>
      </c>
      <c r="H70" s="572"/>
      <c r="I70" s="704"/>
      <c r="J70" s="704"/>
      <c r="K70" s="704"/>
    </row>
    <row r="71" spans="1:11" ht="13.5" thickBot="1" x14ac:dyDescent="0.25">
      <c r="D71" s="739"/>
      <c r="E71" s="704"/>
      <c r="F71" s="704"/>
      <c r="G71" s="704"/>
      <c r="H71" s="573"/>
      <c r="I71" s="704"/>
      <c r="J71" s="704" t="s">
        <v>298</v>
      </c>
      <c r="K71" s="704"/>
    </row>
    <row r="72" spans="1:11" x14ac:dyDescent="0.2">
      <c r="C72" s="877" t="s">
        <v>255</v>
      </c>
      <c r="D72" s="772" t="s">
        <v>552</v>
      </c>
      <c r="E72" s="704"/>
      <c r="F72" s="704"/>
      <c r="G72" s="879" t="s">
        <v>20</v>
      </c>
      <c r="H72" s="573"/>
      <c r="I72" s="582"/>
      <c r="J72" s="581" t="s">
        <v>156</v>
      </c>
      <c r="K72" s="582"/>
    </row>
    <row r="73" spans="1:11" x14ac:dyDescent="0.2">
      <c r="D73" s="568"/>
      <c r="E73" s="568"/>
      <c r="F73" s="572"/>
      <c r="G73" s="603" t="s">
        <v>298</v>
      </c>
      <c r="H73" s="577"/>
      <c r="I73" s="739">
        <v>13</v>
      </c>
      <c r="J73" s="704"/>
      <c r="K73" s="704"/>
    </row>
    <row r="74" spans="1:11" ht="13.5" thickBot="1" x14ac:dyDescent="0.25">
      <c r="C74" s="877" t="s">
        <v>264</v>
      </c>
      <c r="D74" s="705" t="s">
        <v>298</v>
      </c>
      <c r="E74" s="705"/>
      <c r="F74" s="577"/>
      <c r="G74" s="578">
        <v>13</v>
      </c>
      <c r="H74" s="772"/>
      <c r="I74" s="704"/>
      <c r="J74" s="772" t="s">
        <v>507</v>
      </c>
      <c r="K74" s="773"/>
    </row>
    <row r="75" spans="1:11" x14ac:dyDescent="0.2">
      <c r="D75" s="575"/>
      <c r="E75" s="704"/>
      <c r="F75" s="704"/>
      <c r="G75" s="772"/>
      <c r="H75" s="772"/>
      <c r="I75" s="704"/>
      <c r="J75" s="581" t="s">
        <v>157</v>
      </c>
      <c r="K75" s="704"/>
    </row>
    <row r="76" spans="1:11" x14ac:dyDescent="0.2">
      <c r="D76" s="772"/>
      <c r="E76" s="772"/>
      <c r="F76" s="772"/>
      <c r="G76" s="704" t="s">
        <v>554</v>
      </c>
      <c r="H76" s="704"/>
      <c r="I76" s="878">
        <v>13</v>
      </c>
      <c r="J76" s="704"/>
      <c r="K76" s="704"/>
    </row>
    <row r="77" spans="1:11" ht="13.5" thickBot="1" x14ac:dyDescent="0.25">
      <c r="D77" s="772"/>
      <c r="E77" s="772"/>
      <c r="F77" s="772"/>
      <c r="G77" s="568"/>
      <c r="H77" s="572"/>
      <c r="I77" s="773"/>
      <c r="J77" s="773" t="s">
        <v>554</v>
      </c>
      <c r="K77" s="773"/>
    </row>
    <row r="78" spans="1:11" x14ac:dyDescent="0.2">
      <c r="D78" s="772"/>
      <c r="E78" s="772"/>
      <c r="F78" s="772"/>
      <c r="G78" s="705" t="s">
        <v>552</v>
      </c>
      <c r="H78" s="577"/>
      <c r="I78" s="879" t="s">
        <v>20</v>
      </c>
      <c r="J78" s="584" t="s">
        <v>158</v>
      </c>
      <c r="K78" s="772"/>
    </row>
    <row r="79" spans="1:11" x14ac:dyDescent="0.2">
      <c r="D79" s="575"/>
      <c r="E79" s="772"/>
      <c r="F79" s="772"/>
      <c r="G79" s="704"/>
      <c r="H79" s="704"/>
      <c r="I79" s="704"/>
      <c r="J79" s="772"/>
      <c r="K79" s="772"/>
    </row>
    <row r="80" spans="1:11" ht="13.5" thickBot="1" x14ac:dyDescent="0.25">
      <c r="D80" s="772"/>
      <c r="E80" s="772"/>
      <c r="F80" s="772"/>
      <c r="G80" s="772"/>
      <c r="H80" s="772"/>
      <c r="I80" s="704"/>
      <c r="J80" s="773" t="s">
        <v>552</v>
      </c>
      <c r="K80" s="773"/>
    </row>
    <row r="81" spans="1:11" x14ac:dyDescent="0.2">
      <c r="D81" s="772"/>
      <c r="E81" s="772"/>
      <c r="F81" s="772"/>
      <c r="G81" s="772"/>
      <c r="H81" s="772"/>
      <c r="I81" s="704"/>
      <c r="J81" s="579" t="s">
        <v>159</v>
      </c>
      <c r="K81" s="704"/>
    </row>
    <row r="83" spans="1:11" x14ac:dyDescent="0.2">
      <c r="A83" s="760">
        <v>1</v>
      </c>
      <c r="B83" s="32" t="s">
        <v>308</v>
      </c>
    </row>
    <row r="84" spans="1:11" x14ac:dyDescent="0.2">
      <c r="A84" s="760">
        <v>2</v>
      </c>
      <c r="B84" s="764" t="s">
        <v>301</v>
      </c>
    </row>
    <row r="85" spans="1:11" x14ac:dyDescent="0.2">
      <c r="A85" s="760">
        <v>3</v>
      </c>
      <c r="B85" s="774" t="s">
        <v>427</v>
      </c>
    </row>
    <row r="86" spans="1:11" x14ac:dyDescent="0.2">
      <c r="A86" s="760">
        <v>4</v>
      </c>
      <c r="B86" s="760" t="s">
        <v>307</v>
      </c>
    </row>
    <row r="87" spans="1:11" x14ac:dyDescent="0.2">
      <c r="A87" s="760">
        <v>5</v>
      </c>
      <c r="B87" s="760" t="s">
        <v>553</v>
      </c>
    </row>
    <row r="88" spans="1:11" x14ac:dyDescent="0.2">
      <c r="A88" s="760">
        <v>6</v>
      </c>
      <c r="B88" s="760" t="s">
        <v>306</v>
      </c>
    </row>
    <row r="89" spans="1:11" x14ac:dyDescent="0.2">
      <c r="A89" s="760">
        <v>7</v>
      </c>
      <c r="B89" s="760" t="s">
        <v>300</v>
      </c>
    </row>
    <row r="90" spans="1:11" x14ac:dyDescent="0.2">
      <c r="A90" s="760">
        <v>8</v>
      </c>
      <c r="B90" s="760" t="s">
        <v>555</v>
      </c>
    </row>
    <row r="91" spans="1:11" x14ac:dyDescent="0.2">
      <c r="A91" s="760">
        <v>9</v>
      </c>
      <c r="B91" s="760" t="s">
        <v>298</v>
      </c>
    </row>
    <row r="92" spans="1:11" x14ac:dyDescent="0.2">
      <c r="A92" s="760">
        <v>10</v>
      </c>
      <c r="B92" s="760" t="s">
        <v>507</v>
      </c>
    </row>
    <row r="93" spans="1:11" x14ac:dyDescent="0.2">
      <c r="A93" s="760">
        <v>11</v>
      </c>
      <c r="B93" s="760" t="s">
        <v>554</v>
      </c>
    </row>
    <row r="94" spans="1:11" x14ac:dyDescent="0.2">
      <c r="A94" s="760">
        <v>12</v>
      </c>
      <c r="B94" s="760" t="s">
        <v>552</v>
      </c>
    </row>
  </sheetData>
  <conditionalFormatting sqref="C7:I78">
    <cfRule type="cellIs" dxfId="93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28" max="16383" man="1"/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60"/>
  <sheetViews>
    <sheetView showGridLines="0" showRowColHeaders="0" zoomScaleNormal="100" workbookViewId="0">
      <pane ySplit="7" topLeftCell="A8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" style="924" customWidth="1"/>
    <col min="2" max="2" width="18.7109375" style="924" bestFit="1" customWidth="1"/>
    <col min="3" max="22" width="2.85546875" style="924" customWidth="1"/>
    <col min="23" max="23" width="3" style="924" bestFit="1" customWidth="1"/>
    <col min="24" max="24" width="10.5703125" style="924" customWidth="1"/>
    <col min="25" max="26" width="4" style="924" hidden="1" customWidth="1"/>
    <col min="27" max="27" width="4.5703125" style="924" hidden="1" customWidth="1"/>
    <col min="28" max="16384" width="9.140625" style="924"/>
  </cols>
  <sheetData>
    <row r="1" spans="1:24" s="975" customFormat="1" x14ac:dyDescent="0.2">
      <c r="A1" s="11" t="str">
        <f>UPPER((Kalend!E38)&amp;" - "&amp;(Kalend!C38)&amp;" - "&amp;(Kalend!D38))</f>
        <v>12 - IVARI KARIKAS - TULISTAMINE</v>
      </c>
      <c r="N1" s="297" t="str">
        <f>HYPERLINK("#Kalend!I1","Kalender")</f>
        <v>Kalender</v>
      </c>
      <c r="O1" s="478"/>
      <c r="Q1" s="478"/>
      <c r="R1" s="478"/>
      <c r="S1" s="297" t="str">
        <f>HYPERLINK("#Reit!G1","Reiting")</f>
        <v>Reiting</v>
      </c>
      <c r="T1" s="478"/>
      <c r="U1" s="1136"/>
      <c r="V1" s="1136"/>
    </row>
    <row r="2" spans="1:24" s="975" customFormat="1" x14ac:dyDescent="0.2">
      <c r="A2" s="478" t="str">
        <f>"Toimumisaeg: "&amp;(Kalend!A38)&amp;" kell "&amp;(Kalend!B38)</f>
        <v>Toimumisaeg: P, 18.09.2016 kell 11:00</v>
      </c>
      <c r="R2" s="1136"/>
      <c r="S2" s="1136"/>
      <c r="T2" s="1136"/>
    </row>
    <row r="3" spans="1:24" s="975" customFormat="1" x14ac:dyDescent="0.2">
      <c r="A3" s="478" t="str">
        <f>"Toimumiskoht: "&amp;(Kalend!F38)</f>
        <v>Toimumiskoht: K-Järve spordihoone</v>
      </c>
      <c r="R3" s="1136"/>
      <c r="S3" s="1136"/>
      <c r="T3" s="1136"/>
    </row>
    <row r="4" spans="1:24" s="975" customFormat="1" x14ac:dyDescent="0.2">
      <c r="A4" s="478" t="str">
        <f>"Korraldaja: "&amp;(Kalend!G38)</f>
        <v>Korraldaja: K-Järve SHK, Ivar Viljaste</v>
      </c>
      <c r="R4" s="1136"/>
      <c r="S4" s="1136"/>
      <c r="T4" s="1136"/>
    </row>
    <row r="5" spans="1:24" s="975" customFormat="1" ht="13.5" thickBot="1" x14ac:dyDescent="0.25">
      <c r="A5" s="1136"/>
      <c r="B5" s="1136"/>
      <c r="C5" s="1136"/>
      <c r="D5" s="1136"/>
      <c r="E5" s="1136"/>
      <c r="F5" s="1136"/>
      <c r="G5" s="1136"/>
      <c r="H5" s="1136"/>
      <c r="I5" s="1136"/>
      <c r="J5" s="1136"/>
      <c r="K5" s="1136"/>
    </row>
    <row r="6" spans="1:24" ht="63.75" customHeight="1" thickBot="1" x14ac:dyDescent="0.25">
      <c r="A6" s="1107"/>
      <c r="B6" s="1108"/>
      <c r="C6" s="1109"/>
      <c r="D6" s="1109"/>
      <c r="E6" s="1109"/>
      <c r="F6" s="1109"/>
      <c r="G6" s="1110"/>
      <c r="H6" s="1109"/>
      <c r="I6" s="1109"/>
      <c r="J6" s="1111"/>
      <c r="K6" s="1109"/>
      <c r="L6" s="1109"/>
      <c r="M6" s="1109"/>
      <c r="N6" s="1109"/>
      <c r="O6" s="1110"/>
      <c r="P6" s="1109"/>
      <c r="Q6" s="1109"/>
      <c r="R6" s="1111"/>
      <c r="S6" s="1109"/>
      <c r="T6" s="1109"/>
      <c r="U6" s="1109"/>
      <c r="V6" s="1109"/>
      <c r="W6" s="1112"/>
      <c r="X6" s="1112"/>
    </row>
    <row r="7" spans="1:24" s="883" customFormat="1" ht="13.5" thickBot="1" x14ac:dyDescent="0.25">
      <c r="A7" s="1113"/>
      <c r="B7" s="1114"/>
      <c r="C7" s="1115">
        <v>6</v>
      </c>
      <c r="D7" s="1116">
        <v>7</v>
      </c>
      <c r="E7" s="1116">
        <v>8</v>
      </c>
      <c r="F7" s="1117">
        <v>9</v>
      </c>
      <c r="G7" s="1115">
        <v>6</v>
      </c>
      <c r="H7" s="1116">
        <v>7</v>
      </c>
      <c r="I7" s="1116">
        <v>8</v>
      </c>
      <c r="J7" s="1117">
        <v>9</v>
      </c>
      <c r="K7" s="1115">
        <v>6</v>
      </c>
      <c r="L7" s="1116">
        <v>7</v>
      </c>
      <c r="M7" s="1116">
        <v>8</v>
      </c>
      <c r="N7" s="1117">
        <v>9</v>
      </c>
      <c r="O7" s="1115">
        <v>6</v>
      </c>
      <c r="P7" s="1116">
        <v>7</v>
      </c>
      <c r="Q7" s="1116">
        <v>8</v>
      </c>
      <c r="R7" s="1117">
        <v>9</v>
      </c>
      <c r="S7" s="1115">
        <v>6</v>
      </c>
      <c r="T7" s="1116">
        <v>7</v>
      </c>
      <c r="U7" s="1116">
        <v>8</v>
      </c>
      <c r="V7" s="1117">
        <v>9</v>
      </c>
      <c r="W7" s="1118" t="s">
        <v>39</v>
      </c>
      <c r="X7" s="1119" t="s">
        <v>607</v>
      </c>
    </row>
    <row r="8" spans="1:24" x14ac:dyDescent="0.2">
      <c r="A8" s="1120"/>
      <c r="B8" s="1121" t="s">
        <v>556</v>
      </c>
      <c r="C8" s="1122"/>
      <c r="D8" s="1123"/>
      <c r="E8" s="1123"/>
      <c r="F8" s="1124"/>
      <c r="G8" s="1122"/>
      <c r="H8" s="1123"/>
      <c r="I8" s="1123"/>
      <c r="J8" s="1124"/>
      <c r="K8" s="1122"/>
      <c r="L8" s="1123"/>
      <c r="M8" s="1123"/>
      <c r="N8" s="1124"/>
      <c r="O8" s="1122"/>
      <c r="P8" s="1123"/>
      <c r="Q8" s="1123"/>
      <c r="R8" s="1124"/>
      <c r="S8" s="1122"/>
      <c r="T8" s="1123"/>
      <c r="U8" s="1123"/>
      <c r="V8" s="1124"/>
      <c r="W8" s="1120"/>
      <c r="X8" s="1125"/>
    </row>
    <row r="9" spans="1:24" x14ac:dyDescent="0.2">
      <c r="A9" s="886">
        <v>1</v>
      </c>
      <c r="B9" s="916" t="s">
        <v>48</v>
      </c>
      <c r="C9" s="887">
        <v>3</v>
      </c>
      <c r="D9" s="888">
        <v>0</v>
      </c>
      <c r="E9" s="888">
        <v>0</v>
      </c>
      <c r="F9" s="889">
        <v>1</v>
      </c>
      <c r="G9" s="887">
        <v>0</v>
      </c>
      <c r="H9" s="888">
        <v>3</v>
      </c>
      <c r="I9" s="888">
        <v>0</v>
      </c>
      <c r="J9" s="889">
        <v>0</v>
      </c>
      <c r="K9" s="887">
        <v>1</v>
      </c>
      <c r="L9" s="888">
        <v>3</v>
      </c>
      <c r="M9" s="888">
        <v>3</v>
      </c>
      <c r="N9" s="889">
        <v>0</v>
      </c>
      <c r="O9" s="887">
        <v>0</v>
      </c>
      <c r="P9" s="888">
        <v>0</v>
      </c>
      <c r="Q9" s="888">
        <v>0</v>
      </c>
      <c r="R9" s="889">
        <v>0</v>
      </c>
      <c r="S9" s="887">
        <v>0</v>
      </c>
      <c r="T9" s="888">
        <v>0</v>
      </c>
      <c r="U9" s="888">
        <v>0</v>
      </c>
      <c r="V9" s="889">
        <v>0</v>
      </c>
      <c r="W9" s="890">
        <f>IF(COUNTA(C9:V9)=0,"",SUM(C9:V9)+COUNTIF(C9:V9,5)/100+COUNTIF(C9:V9,3)/10000)</f>
        <v>14.000400000000001</v>
      </c>
      <c r="X9" s="890">
        <f t="shared" ref="X9:X22" si="0">IF(COUNTA(C9:V9)=0,"",IF(RANK(W9,$W$9:$W$22)&lt;9,"edasi "&amp;RANK(W9,$W$9:$W$22),RANK(W9,$W$9:$W$22)))</f>
        <v>9</v>
      </c>
    </row>
    <row r="10" spans="1:24" x14ac:dyDescent="0.2">
      <c r="A10" s="886">
        <v>2</v>
      </c>
      <c r="B10" s="912" t="s">
        <v>52</v>
      </c>
      <c r="C10" s="887">
        <v>0</v>
      </c>
      <c r="D10" s="888">
        <v>0</v>
      </c>
      <c r="E10" s="888">
        <v>5</v>
      </c>
      <c r="F10" s="889">
        <v>0</v>
      </c>
      <c r="G10" s="887">
        <v>0</v>
      </c>
      <c r="H10" s="888">
        <v>0</v>
      </c>
      <c r="I10" s="888">
        <v>0</v>
      </c>
      <c r="J10" s="889">
        <v>0</v>
      </c>
      <c r="K10" s="887">
        <v>3</v>
      </c>
      <c r="L10" s="888">
        <v>0</v>
      </c>
      <c r="M10" s="888">
        <v>0</v>
      </c>
      <c r="N10" s="889">
        <v>1</v>
      </c>
      <c r="O10" s="887">
        <v>3</v>
      </c>
      <c r="P10" s="888">
        <v>0</v>
      </c>
      <c r="Q10" s="888">
        <v>0</v>
      </c>
      <c r="R10" s="889">
        <v>0</v>
      </c>
      <c r="S10" s="887">
        <v>5</v>
      </c>
      <c r="T10" s="888">
        <v>0</v>
      </c>
      <c r="U10" s="888">
        <v>3</v>
      </c>
      <c r="V10" s="889">
        <v>0</v>
      </c>
      <c r="W10" s="890">
        <f t="shared" ref="W10:W22" si="1">IF(COUNTA(C10:V10)=0,"",SUM(C10:V10)+COUNTIF(C10:V10,5)/100+COUNTIF(C10:V10,3)/10000)</f>
        <v>20.020299999999999</v>
      </c>
      <c r="X10" s="890" t="str">
        <f t="shared" si="0"/>
        <v>edasi 5</v>
      </c>
    </row>
    <row r="11" spans="1:24" x14ac:dyDescent="0.2">
      <c r="A11" s="884">
        <v>3</v>
      </c>
      <c r="B11" s="914" t="s">
        <v>49</v>
      </c>
      <c r="C11" s="891">
        <v>0</v>
      </c>
      <c r="D11" s="892">
        <v>0</v>
      </c>
      <c r="E11" s="892">
        <v>0</v>
      </c>
      <c r="F11" s="893">
        <v>0</v>
      </c>
      <c r="G11" s="891">
        <v>0</v>
      </c>
      <c r="H11" s="892">
        <v>1</v>
      </c>
      <c r="I11" s="892">
        <v>3</v>
      </c>
      <c r="J11" s="893">
        <v>0</v>
      </c>
      <c r="K11" s="891">
        <v>0</v>
      </c>
      <c r="L11" s="892">
        <v>0</v>
      </c>
      <c r="M11" s="892">
        <v>0</v>
      </c>
      <c r="N11" s="893">
        <v>0</v>
      </c>
      <c r="O11" s="891">
        <v>1</v>
      </c>
      <c r="P11" s="892">
        <v>0</v>
      </c>
      <c r="Q11" s="892">
        <v>0</v>
      </c>
      <c r="R11" s="893">
        <v>0</v>
      </c>
      <c r="S11" s="891">
        <v>0</v>
      </c>
      <c r="T11" s="892">
        <v>0</v>
      </c>
      <c r="U11" s="892">
        <v>0</v>
      </c>
      <c r="V11" s="893">
        <v>0</v>
      </c>
      <c r="W11" s="928">
        <f t="shared" si="1"/>
        <v>5.0000999999999998</v>
      </c>
      <c r="X11" s="928">
        <f t="shared" si="0"/>
        <v>12</v>
      </c>
    </row>
    <row r="12" spans="1:24" x14ac:dyDescent="0.2">
      <c r="A12" s="884">
        <v>4</v>
      </c>
      <c r="B12" s="915" t="s">
        <v>47</v>
      </c>
      <c r="C12" s="891">
        <v>3</v>
      </c>
      <c r="D12" s="892">
        <v>0</v>
      </c>
      <c r="E12" s="892">
        <v>3</v>
      </c>
      <c r="F12" s="893">
        <v>0</v>
      </c>
      <c r="G12" s="891">
        <v>0</v>
      </c>
      <c r="H12" s="892">
        <v>3</v>
      </c>
      <c r="I12" s="892">
        <v>3</v>
      </c>
      <c r="J12" s="893">
        <v>1</v>
      </c>
      <c r="K12" s="891">
        <v>0</v>
      </c>
      <c r="L12" s="892">
        <v>5</v>
      </c>
      <c r="M12" s="892">
        <v>1</v>
      </c>
      <c r="N12" s="893">
        <v>0</v>
      </c>
      <c r="O12" s="891">
        <v>1</v>
      </c>
      <c r="P12" s="892">
        <v>0</v>
      </c>
      <c r="Q12" s="892">
        <v>0</v>
      </c>
      <c r="R12" s="893">
        <v>0</v>
      </c>
      <c r="S12" s="891">
        <v>0</v>
      </c>
      <c r="T12" s="892">
        <v>0</v>
      </c>
      <c r="U12" s="892">
        <v>0</v>
      </c>
      <c r="V12" s="893">
        <v>0</v>
      </c>
      <c r="W12" s="928">
        <f t="shared" si="1"/>
        <v>20.010400000000001</v>
      </c>
      <c r="X12" s="928" t="str">
        <f t="shared" si="0"/>
        <v>edasi 6</v>
      </c>
    </row>
    <row r="13" spans="1:24" x14ac:dyDescent="0.2">
      <c r="A13" s="886">
        <v>5</v>
      </c>
      <c r="B13" s="912" t="s">
        <v>81</v>
      </c>
      <c r="C13" s="887">
        <v>0</v>
      </c>
      <c r="D13" s="888">
        <v>3</v>
      </c>
      <c r="E13" s="888">
        <v>3</v>
      </c>
      <c r="F13" s="889">
        <v>0</v>
      </c>
      <c r="G13" s="887">
        <v>1</v>
      </c>
      <c r="H13" s="888">
        <v>3</v>
      </c>
      <c r="I13" s="888">
        <v>0</v>
      </c>
      <c r="J13" s="889">
        <v>0</v>
      </c>
      <c r="K13" s="887">
        <v>3</v>
      </c>
      <c r="L13" s="888">
        <v>0</v>
      </c>
      <c r="M13" s="888">
        <v>3</v>
      </c>
      <c r="N13" s="889">
        <v>0</v>
      </c>
      <c r="O13" s="887">
        <v>0</v>
      </c>
      <c r="P13" s="888">
        <v>0</v>
      </c>
      <c r="Q13" s="888">
        <v>3</v>
      </c>
      <c r="R13" s="889">
        <v>0</v>
      </c>
      <c r="S13" s="887">
        <v>3</v>
      </c>
      <c r="T13" s="888">
        <v>0</v>
      </c>
      <c r="U13" s="888">
        <v>0</v>
      </c>
      <c r="V13" s="889">
        <v>0</v>
      </c>
      <c r="W13" s="890">
        <f t="shared" si="1"/>
        <v>22.000699999999998</v>
      </c>
      <c r="X13" s="890" t="str">
        <f t="shared" si="0"/>
        <v>edasi 3</v>
      </c>
    </row>
    <row r="14" spans="1:24" x14ac:dyDescent="0.2">
      <c r="A14" s="886">
        <v>6</v>
      </c>
      <c r="B14" s="916" t="s">
        <v>68</v>
      </c>
      <c r="C14" s="887">
        <v>3</v>
      </c>
      <c r="D14" s="888">
        <v>5</v>
      </c>
      <c r="E14" s="888">
        <v>0</v>
      </c>
      <c r="F14" s="889">
        <v>0</v>
      </c>
      <c r="G14" s="887">
        <v>3</v>
      </c>
      <c r="H14" s="888">
        <v>3</v>
      </c>
      <c r="I14" s="888">
        <v>0</v>
      </c>
      <c r="J14" s="889">
        <v>0</v>
      </c>
      <c r="K14" s="887">
        <v>0</v>
      </c>
      <c r="L14" s="888">
        <v>0</v>
      </c>
      <c r="M14" s="888">
        <v>0</v>
      </c>
      <c r="N14" s="889">
        <v>0</v>
      </c>
      <c r="O14" s="887">
        <v>0</v>
      </c>
      <c r="P14" s="888">
        <v>0</v>
      </c>
      <c r="Q14" s="888">
        <v>0</v>
      </c>
      <c r="R14" s="889">
        <v>0</v>
      </c>
      <c r="S14" s="887">
        <v>0</v>
      </c>
      <c r="T14" s="888">
        <v>5</v>
      </c>
      <c r="U14" s="888">
        <v>0</v>
      </c>
      <c r="V14" s="889">
        <v>0</v>
      </c>
      <c r="W14" s="890">
        <f t="shared" si="1"/>
        <v>19.020299999999999</v>
      </c>
      <c r="X14" s="890" t="str">
        <f t="shared" si="0"/>
        <v>edasi 7</v>
      </c>
    </row>
    <row r="15" spans="1:24" x14ac:dyDescent="0.2">
      <c r="A15" s="884">
        <v>7</v>
      </c>
      <c r="B15" s="894" t="s">
        <v>44</v>
      </c>
      <c r="C15" s="891">
        <v>3</v>
      </c>
      <c r="D15" s="892">
        <v>3</v>
      </c>
      <c r="E15" s="892">
        <v>3</v>
      </c>
      <c r="F15" s="893">
        <v>0</v>
      </c>
      <c r="G15" s="891">
        <v>0</v>
      </c>
      <c r="H15" s="892">
        <v>3</v>
      </c>
      <c r="I15" s="892">
        <v>3</v>
      </c>
      <c r="J15" s="893">
        <v>0</v>
      </c>
      <c r="K15" s="891">
        <v>0</v>
      </c>
      <c r="L15" s="892">
        <v>0</v>
      </c>
      <c r="M15" s="892">
        <v>0</v>
      </c>
      <c r="N15" s="893">
        <v>0</v>
      </c>
      <c r="O15" s="891">
        <v>0</v>
      </c>
      <c r="P15" s="892">
        <v>3</v>
      </c>
      <c r="Q15" s="892">
        <v>0</v>
      </c>
      <c r="R15" s="893">
        <v>0</v>
      </c>
      <c r="S15" s="891">
        <v>0</v>
      </c>
      <c r="T15" s="892">
        <v>5</v>
      </c>
      <c r="U15" s="892">
        <v>0</v>
      </c>
      <c r="V15" s="893">
        <v>0</v>
      </c>
      <c r="W15" s="940">
        <f t="shared" si="1"/>
        <v>23.0106</v>
      </c>
      <c r="X15" s="928" t="str">
        <f t="shared" si="0"/>
        <v>edasi 2</v>
      </c>
    </row>
    <row r="16" spans="1:24" x14ac:dyDescent="0.2">
      <c r="A16" s="884">
        <v>8</v>
      </c>
      <c r="B16" s="933" t="s">
        <v>51</v>
      </c>
      <c r="C16" s="891">
        <v>0</v>
      </c>
      <c r="D16" s="892">
        <v>0</v>
      </c>
      <c r="E16" s="892">
        <v>0</v>
      </c>
      <c r="F16" s="893">
        <v>0</v>
      </c>
      <c r="G16" s="891">
        <v>0</v>
      </c>
      <c r="H16" s="892">
        <v>0</v>
      </c>
      <c r="I16" s="892">
        <v>3</v>
      </c>
      <c r="J16" s="893">
        <v>0</v>
      </c>
      <c r="K16" s="891">
        <v>0</v>
      </c>
      <c r="L16" s="892">
        <v>0</v>
      </c>
      <c r="M16" s="892">
        <v>0</v>
      </c>
      <c r="N16" s="893">
        <v>0</v>
      </c>
      <c r="O16" s="891">
        <v>0</v>
      </c>
      <c r="P16" s="892">
        <v>0</v>
      </c>
      <c r="Q16" s="892">
        <v>0</v>
      </c>
      <c r="R16" s="893">
        <v>0</v>
      </c>
      <c r="S16" s="891">
        <v>0</v>
      </c>
      <c r="T16" s="892">
        <v>0</v>
      </c>
      <c r="U16" s="892">
        <v>0</v>
      </c>
      <c r="V16" s="893">
        <v>0</v>
      </c>
      <c r="W16" s="928">
        <f t="shared" si="1"/>
        <v>3.0001000000000002</v>
      </c>
      <c r="X16" s="928">
        <f t="shared" si="0"/>
        <v>14</v>
      </c>
    </row>
    <row r="17" spans="1:27" x14ac:dyDescent="0.2">
      <c r="A17" s="886">
        <v>9</v>
      </c>
      <c r="B17" s="912" t="s">
        <v>58</v>
      </c>
      <c r="C17" s="887">
        <v>0</v>
      </c>
      <c r="D17" s="888">
        <v>3</v>
      </c>
      <c r="E17" s="888">
        <v>0</v>
      </c>
      <c r="F17" s="889">
        <v>3</v>
      </c>
      <c r="G17" s="887">
        <v>0</v>
      </c>
      <c r="H17" s="888">
        <v>1</v>
      </c>
      <c r="I17" s="888">
        <v>0</v>
      </c>
      <c r="J17" s="889">
        <v>3</v>
      </c>
      <c r="K17" s="887">
        <v>0</v>
      </c>
      <c r="L17" s="888">
        <v>0</v>
      </c>
      <c r="M17" s="888">
        <v>0</v>
      </c>
      <c r="N17" s="889">
        <v>0</v>
      </c>
      <c r="O17" s="887">
        <v>0</v>
      </c>
      <c r="P17" s="888">
        <v>0</v>
      </c>
      <c r="Q17" s="888">
        <v>0</v>
      </c>
      <c r="R17" s="889">
        <v>0</v>
      </c>
      <c r="S17" s="887">
        <v>3</v>
      </c>
      <c r="T17" s="888">
        <v>3</v>
      </c>
      <c r="U17" s="888">
        <v>5</v>
      </c>
      <c r="V17" s="889">
        <v>0</v>
      </c>
      <c r="W17" s="890">
        <f t="shared" si="1"/>
        <v>21.0105</v>
      </c>
      <c r="X17" s="890" t="str">
        <f t="shared" si="0"/>
        <v>edasi 4</v>
      </c>
    </row>
    <row r="18" spans="1:27" x14ac:dyDescent="0.2">
      <c r="A18" s="886">
        <v>10</v>
      </c>
      <c r="B18" s="912" t="s">
        <v>339</v>
      </c>
      <c r="C18" s="887">
        <v>0</v>
      </c>
      <c r="D18" s="888">
        <v>0</v>
      </c>
      <c r="E18" s="888">
        <v>1</v>
      </c>
      <c r="F18" s="889">
        <v>0</v>
      </c>
      <c r="G18" s="887">
        <v>0</v>
      </c>
      <c r="H18" s="888">
        <v>3</v>
      </c>
      <c r="I18" s="888">
        <v>0</v>
      </c>
      <c r="J18" s="889">
        <v>0</v>
      </c>
      <c r="K18" s="887">
        <v>0</v>
      </c>
      <c r="L18" s="888">
        <v>1</v>
      </c>
      <c r="M18" s="888">
        <v>0</v>
      </c>
      <c r="N18" s="889">
        <v>0</v>
      </c>
      <c r="O18" s="887">
        <v>0</v>
      </c>
      <c r="P18" s="888">
        <v>0</v>
      </c>
      <c r="Q18" s="888">
        <v>0</v>
      </c>
      <c r="R18" s="889">
        <v>0</v>
      </c>
      <c r="S18" s="887">
        <v>0</v>
      </c>
      <c r="T18" s="888">
        <v>5</v>
      </c>
      <c r="U18" s="888">
        <v>0</v>
      </c>
      <c r="V18" s="889">
        <v>0</v>
      </c>
      <c r="W18" s="890">
        <f t="shared" si="1"/>
        <v>10.0101</v>
      </c>
      <c r="X18" s="890">
        <f t="shared" si="0"/>
        <v>11</v>
      </c>
    </row>
    <row r="19" spans="1:27" x14ac:dyDescent="0.2">
      <c r="A19" s="884">
        <v>11</v>
      </c>
      <c r="B19" s="915" t="s">
        <v>54</v>
      </c>
      <c r="C19" s="891">
        <v>3</v>
      </c>
      <c r="D19" s="892">
        <v>0</v>
      </c>
      <c r="E19" s="892">
        <v>3</v>
      </c>
      <c r="F19" s="893">
        <v>0</v>
      </c>
      <c r="G19" s="891">
        <v>3</v>
      </c>
      <c r="H19" s="892">
        <v>0</v>
      </c>
      <c r="I19" s="892">
        <v>0</v>
      </c>
      <c r="J19" s="893">
        <v>5</v>
      </c>
      <c r="K19" s="891">
        <v>0</v>
      </c>
      <c r="L19" s="892">
        <v>0</v>
      </c>
      <c r="M19" s="892">
        <v>0</v>
      </c>
      <c r="N19" s="893">
        <v>0</v>
      </c>
      <c r="O19" s="891">
        <v>0</v>
      </c>
      <c r="P19" s="892">
        <v>0</v>
      </c>
      <c r="Q19" s="892">
        <v>0</v>
      </c>
      <c r="R19" s="893">
        <v>0</v>
      </c>
      <c r="S19" s="891">
        <v>5</v>
      </c>
      <c r="T19" s="892">
        <v>0</v>
      </c>
      <c r="U19" s="892">
        <v>5</v>
      </c>
      <c r="V19" s="893">
        <v>0</v>
      </c>
      <c r="W19" s="940">
        <f t="shared" si="1"/>
        <v>24.0303</v>
      </c>
      <c r="X19" s="928" t="str">
        <f t="shared" si="0"/>
        <v>edasi 1</v>
      </c>
    </row>
    <row r="20" spans="1:27" x14ac:dyDescent="0.2">
      <c r="A20" s="884">
        <v>12</v>
      </c>
      <c r="B20" s="933" t="s">
        <v>57</v>
      </c>
      <c r="C20" s="891">
        <v>1</v>
      </c>
      <c r="D20" s="892">
        <v>0</v>
      </c>
      <c r="E20" s="892">
        <v>0</v>
      </c>
      <c r="F20" s="893">
        <v>0</v>
      </c>
      <c r="G20" s="891">
        <v>0</v>
      </c>
      <c r="H20" s="892">
        <v>0</v>
      </c>
      <c r="I20" s="892">
        <v>0</v>
      </c>
      <c r="J20" s="893">
        <v>0</v>
      </c>
      <c r="K20" s="891">
        <v>0</v>
      </c>
      <c r="L20" s="892">
        <v>0</v>
      </c>
      <c r="M20" s="892">
        <v>1</v>
      </c>
      <c r="N20" s="893">
        <v>0</v>
      </c>
      <c r="O20" s="891">
        <v>3</v>
      </c>
      <c r="P20" s="892">
        <v>0</v>
      </c>
      <c r="Q20" s="892">
        <v>0</v>
      </c>
      <c r="R20" s="893">
        <v>0</v>
      </c>
      <c r="S20" s="891">
        <v>0</v>
      </c>
      <c r="T20" s="892">
        <v>0</v>
      </c>
      <c r="U20" s="892">
        <v>0</v>
      </c>
      <c r="V20" s="893">
        <v>0</v>
      </c>
      <c r="W20" s="928">
        <f t="shared" si="1"/>
        <v>5.0000999999999998</v>
      </c>
      <c r="X20" s="928">
        <f t="shared" si="0"/>
        <v>12</v>
      </c>
      <c r="Y20" s="929"/>
      <c r="Z20" s="930"/>
      <c r="AA20" s="930"/>
    </row>
    <row r="21" spans="1:27" x14ac:dyDescent="0.2">
      <c r="A21" s="886">
        <v>13</v>
      </c>
      <c r="B21" s="912" t="s">
        <v>43</v>
      </c>
      <c r="C21" s="887">
        <v>3</v>
      </c>
      <c r="D21" s="888">
        <v>0</v>
      </c>
      <c r="E21" s="888">
        <v>3</v>
      </c>
      <c r="F21" s="889">
        <v>3</v>
      </c>
      <c r="G21" s="887">
        <v>0</v>
      </c>
      <c r="H21" s="888">
        <v>0</v>
      </c>
      <c r="I21" s="888">
        <v>3</v>
      </c>
      <c r="J21" s="889">
        <v>1</v>
      </c>
      <c r="K21" s="887">
        <v>0</v>
      </c>
      <c r="L21" s="888">
        <v>0</v>
      </c>
      <c r="M21" s="888">
        <v>0</v>
      </c>
      <c r="N21" s="889">
        <v>0</v>
      </c>
      <c r="O21" s="887">
        <v>0</v>
      </c>
      <c r="P21" s="888">
        <v>0</v>
      </c>
      <c r="Q21" s="888">
        <v>0</v>
      </c>
      <c r="R21" s="889">
        <v>0</v>
      </c>
      <c r="S21" s="887">
        <v>5</v>
      </c>
      <c r="T21" s="888">
        <v>0</v>
      </c>
      <c r="U21" s="888">
        <v>0</v>
      </c>
      <c r="V21" s="889">
        <v>0</v>
      </c>
      <c r="W21" s="890">
        <f t="shared" si="1"/>
        <v>18.010400000000001</v>
      </c>
      <c r="X21" s="890" t="str">
        <f t="shared" si="0"/>
        <v>edasi 8</v>
      </c>
    </row>
    <row r="22" spans="1:27" ht="13.5" thickBot="1" x14ac:dyDescent="0.25">
      <c r="A22" s="895">
        <v>14</v>
      </c>
      <c r="B22" s="919" t="s">
        <v>46</v>
      </c>
      <c r="C22" s="896">
        <v>0</v>
      </c>
      <c r="D22" s="897">
        <v>3</v>
      </c>
      <c r="E22" s="897">
        <v>5</v>
      </c>
      <c r="F22" s="898">
        <v>0</v>
      </c>
      <c r="G22" s="896">
        <v>1</v>
      </c>
      <c r="H22" s="897">
        <v>0</v>
      </c>
      <c r="I22" s="897">
        <v>0</v>
      </c>
      <c r="J22" s="898">
        <v>3</v>
      </c>
      <c r="K22" s="896">
        <v>0</v>
      </c>
      <c r="L22" s="897">
        <v>0</v>
      </c>
      <c r="M22" s="897">
        <v>0</v>
      </c>
      <c r="N22" s="898">
        <v>0</v>
      </c>
      <c r="O22" s="896">
        <v>0</v>
      </c>
      <c r="P22" s="897">
        <v>0</v>
      </c>
      <c r="Q22" s="897">
        <v>0</v>
      </c>
      <c r="R22" s="898">
        <v>0</v>
      </c>
      <c r="S22" s="896">
        <v>0</v>
      </c>
      <c r="T22" s="897">
        <v>0</v>
      </c>
      <c r="U22" s="897">
        <v>0</v>
      </c>
      <c r="V22" s="898">
        <v>0</v>
      </c>
      <c r="W22" s="899">
        <f t="shared" si="1"/>
        <v>12.010199999999999</v>
      </c>
      <c r="X22" s="899">
        <f t="shared" si="0"/>
        <v>10</v>
      </c>
    </row>
    <row r="23" spans="1:27" x14ac:dyDescent="0.2">
      <c r="A23" s="934"/>
      <c r="B23" s="885" t="s">
        <v>557</v>
      </c>
      <c r="C23" s="925"/>
      <c r="D23" s="926"/>
      <c r="E23" s="926"/>
      <c r="F23" s="927"/>
      <c r="G23" s="925"/>
      <c r="H23" s="926"/>
      <c r="I23" s="926"/>
      <c r="J23" s="927"/>
      <c r="K23" s="925"/>
      <c r="L23" s="926"/>
      <c r="M23" s="926"/>
      <c r="N23" s="927"/>
      <c r="O23" s="925"/>
      <c r="P23" s="926"/>
      <c r="Q23" s="926"/>
      <c r="R23" s="927"/>
      <c r="S23" s="925"/>
      <c r="T23" s="926"/>
      <c r="U23" s="926"/>
      <c r="V23" s="927"/>
      <c r="W23" s="939"/>
      <c r="X23" s="939"/>
      <c r="Y23" s="1132"/>
      <c r="Z23" s="901" t="s">
        <v>558</v>
      </c>
      <c r="AA23" s="901" t="s">
        <v>559</v>
      </c>
    </row>
    <row r="24" spans="1:27" x14ac:dyDescent="0.2">
      <c r="A24" s="1096">
        <v>4</v>
      </c>
      <c r="B24" s="1097" t="s">
        <v>58</v>
      </c>
      <c r="C24" s="1098">
        <v>0</v>
      </c>
      <c r="D24" s="1099">
        <v>0</v>
      </c>
      <c r="E24" s="1099">
        <v>3</v>
      </c>
      <c r="F24" s="1100">
        <v>0</v>
      </c>
      <c r="G24" s="1098">
        <v>3</v>
      </c>
      <c r="H24" s="1099">
        <v>1</v>
      </c>
      <c r="I24" s="1099">
        <v>0</v>
      </c>
      <c r="J24" s="1100">
        <v>0</v>
      </c>
      <c r="K24" s="1098">
        <v>3</v>
      </c>
      <c r="L24" s="1099">
        <v>0</v>
      </c>
      <c r="M24" s="1099">
        <v>0</v>
      </c>
      <c r="N24" s="1100">
        <v>0</v>
      </c>
      <c r="O24" s="1098">
        <v>0</v>
      </c>
      <c r="P24" s="1099">
        <v>3</v>
      </c>
      <c r="Q24" s="1099">
        <v>0</v>
      </c>
      <c r="R24" s="1100">
        <v>0</v>
      </c>
      <c r="S24" s="1098">
        <v>0</v>
      </c>
      <c r="T24" s="1099">
        <v>0</v>
      </c>
      <c r="U24" s="1099">
        <v>0</v>
      </c>
      <c r="V24" s="1100">
        <v>0</v>
      </c>
      <c r="W24" s="890">
        <f t="shared" ref="W24:W31" si="2">SUM(C24:V24)</f>
        <v>13</v>
      </c>
      <c r="X24" s="1135" t="s">
        <v>606</v>
      </c>
      <c r="Y24" s="1133">
        <f>IF(COUNTA(C24:V24)=0,100,W24+IF(RANK(W24,$W$24:$W$25)=1,100,0))</f>
        <v>113</v>
      </c>
      <c r="Z24" s="901">
        <f>MIN(W24:W25)</f>
        <v>13</v>
      </c>
      <c r="AA24" s="901">
        <f>MAX(W24:W25)</f>
        <v>13</v>
      </c>
    </row>
    <row r="25" spans="1:27" x14ac:dyDescent="0.2">
      <c r="A25" s="1096">
        <v>5</v>
      </c>
      <c r="B25" s="916" t="s">
        <v>52</v>
      </c>
      <c r="C25" s="1098">
        <v>0</v>
      </c>
      <c r="D25" s="1099">
        <v>0</v>
      </c>
      <c r="E25" s="1099">
        <v>0</v>
      </c>
      <c r="F25" s="1100">
        <v>3</v>
      </c>
      <c r="G25" s="1098">
        <v>0</v>
      </c>
      <c r="H25" s="1099">
        <v>0</v>
      </c>
      <c r="I25" s="1099">
        <v>0</v>
      </c>
      <c r="J25" s="1100">
        <v>0</v>
      </c>
      <c r="K25" s="1098">
        <v>0</v>
      </c>
      <c r="L25" s="1099">
        <v>0</v>
      </c>
      <c r="M25" s="1099">
        <v>5</v>
      </c>
      <c r="N25" s="1100">
        <v>0</v>
      </c>
      <c r="O25" s="1098">
        <v>0</v>
      </c>
      <c r="P25" s="1099">
        <v>0</v>
      </c>
      <c r="Q25" s="1099">
        <v>0</v>
      </c>
      <c r="R25" s="1100">
        <v>0</v>
      </c>
      <c r="S25" s="1098">
        <v>5</v>
      </c>
      <c r="T25" s="1099">
        <v>0</v>
      </c>
      <c r="U25" s="1099">
        <v>0</v>
      </c>
      <c r="V25" s="1100">
        <v>0</v>
      </c>
      <c r="W25" s="890">
        <f t="shared" si="2"/>
        <v>13</v>
      </c>
      <c r="X25" s="1135" t="s">
        <v>606</v>
      </c>
      <c r="Y25" s="1134">
        <f>IF(COUNTA(C25:V25)=0,0,W25+IF(RANK(W25,$W$24:$W$25)=1,100,0))</f>
        <v>113</v>
      </c>
      <c r="Z25" s="901"/>
      <c r="AA25" s="901"/>
    </row>
    <row r="26" spans="1:27" x14ac:dyDescent="0.2">
      <c r="A26" s="934">
        <v>3</v>
      </c>
      <c r="B26" s="921" t="s">
        <v>81</v>
      </c>
      <c r="C26" s="925">
        <v>5</v>
      </c>
      <c r="D26" s="926">
        <v>0</v>
      </c>
      <c r="E26" s="926">
        <v>3</v>
      </c>
      <c r="F26" s="927">
        <v>0</v>
      </c>
      <c r="G26" s="925">
        <v>0</v>
      </c>
      <c r="H26" s="926">
        <v>0</v>
      </c>
      <c r="I26" s="926">
        <v>0</v>
      </c>
      <c r="J26" s="927">
        <v>0</v>
      </c>
      <c r="K26" s="925">
        <v>0</v>
      </c>
      <c r="L26" s="926">
        <v>0</v>
      </c>
      <c r="M26" s="926">
        <v>1</v>
      </c>
      <c r="N26" s="927">
        <v>0</v>
      </c>
      <c r="O26" s="925">
        <v>0</v>
      </c>
      <c r="P26" s="926">
        <v>0</v>
      </c>
      <c r="Q26" s="926">
        <v>3</v>
      </c>
      <c r="R26" s="927">
        <v>0</v>
      </c>
      <c r="S26" s="925">
        <v>0</v>
      </c>
      <c r="T26" s="926">
        <v>0</v>
      </c>
      <c r="U26" s="926">
        <v>0</v>
      </c>
      <c r="V26" s="927">
        <v>0</v>
      </c>
      <c r="W26" s="928">
        <f t="shared" si="2"/>
        <v>12</v>
      </c>
      <c r="X26" s="939">
        <f>IF(ISBLANK(C26),"",IF(RANK(Y26,$Y$26:$Y$27)&lt;2,"edasi "&amp;RANK(W26,$AA$24:$AA$31),RANK(W26,$Z$24:$Z$31)+4))</f>
        <v>6</v>
      </c>
      <c r="Y26" s="1133">
        <f>IF(COUNTA(C26:V26)=0,100,W26+IF(RANK(W26,$W$26:$W$27)=1,100,0))</f>
        <v>12</v>
      </c>
      <c r="Z26" s="901">
        <f>MIN(W26:W27)</f>
        <v>12</v>
      </c>
      <c r="AA26" s="901">
        <f>MAX(W26:W27)</f>
        <v>13</v>
      </c>
    </row>
    <row r="27" spans="1:27" x14ac:dyDescent="0.2">
      <c r="A27" s="934">
        <v>6</v>
      </c>
      <c r="B27" s="917" t="s">
        <v>47</v>
      </c>
      <c r="C27" s="925">
        <v>0</v>
      </c>
      <c r="D27" s="926">
        <v>0</v>
      </c>
      <c r="E27" s="926">
        <v>0</v>
      </c>
      <c r="F27" s="927">
        <v>0</v>
      </c>
      <c r="G27" s="925">
        <v>1</v>
      </c>
      <c r="H27" s="926">
        <v>0</v>
      </c>
      <c r="I27" s="926">
        <v>0</v>
      </c>
      <c r="J27" s="927">
        <v>3</v>
      </c>
      <c r="K27" s="925">
        <v>0</v>
      </c>
      <c r="L27" s="926">
        <v>1</v>
      </c>
      <c r="M27" s="926">
        <v>0</v>
      </c>
      <c r="N27" s="927">
        <v>0</v>
      </c>
      <c r="O27" s="925">
        <v>0</v>
      </c>
      <c r="P27" s="926">
        <v>0</v>
      </c>
      <c r="Q27" s="926">
        <v>5</v>
      </c>
      <c r="R27" s="927">
        <v>0</v>
      </c>
      <c r="S27" s="925">
        <v>3</v>
      </c>
      <c r="T27" s="926">
        <v>0</v>
      </c>
      <c r="U27" s="926">
        <v>0</v>
      </c>
      <c r="V27" s="927">
        <v>0</v>
      </c>
      <c r="W27" s="928">
        <f t="shared" si="2"/>
        <v>13</v>
      </c>
      <c r="X27" s="939" t="s">
        <v>563</v>
      </c>
      <c r="Y27" s="1134">
        <f>IF(COUNTA(C27:V27)=0,0,W27+IF(RANK(W27,$W$26:$W$27)=1,100,0))</f>
        <v>113</v>
      </c>
      <c r="Z27" s="901"/>
      <c r="AA27" s="901"/>
    </row>
    <row r="28" spans="1:27" x14ac:dyDescent="0.2">
      <c r="A28" s="1096">
        <v>2</v>
      </c>
      <c r="B28" s="912" t="s">
        <v>44</v>
      </c>
      <c r="C28" s="1098">
        <v>0</v>
      </c>
      <c r="D28" s="1099">
        <v>0</v>
      </c>
      <c r="E28" s="1099">
        <v>3</v>
      </c>
      <c r="F28" s="1100">
        <v>0</v>
      </c>
      <c r="G28" s="1098">
        <v>3</v>
      </c>
      <c r="H28" s="1099">
        <v>0</v>
      </c>
      <c r="I28" s="1099">
        <v>0</v>
      </c>
      <c r="J28" s="1100">
        <v>0</v>
      </c>
      <c r="K28" s="1098">
        <v>0</v>
      </c>
      <c r="L28" s="1099">
        <v>0</v>
      </c>
      <c r="M28" s="1099">
        <v>0</v>
      </c>
      <c r="N28" s="1100">
        <v>1</v>
      </c>
      <c r="O28" s="1098">
        <v>0</v>
      </c>
      <c r="P28" s="1099">
        <v>0</v>
      </c>
      <c r="Q28" s="1099">
        <v>0</v>
      </c>
      <c r="R28" s="1100">
        <v>0</v>
      </c>
      <c r="S28" s="1098">
        <v>0</v>
      </c>
      <c r="T28" s="1099">
        <v>0</v>
      </c>
      <c r="U28" s="1099">
        <v>0</v>
      </c>
      <c r="V28" s="1100">
        <v>0</v>
      </c>
      <c r="W28" s="890">
        <f t="shared" si="2"/>
        <v>7</v>
      </c>
      <c r="X28" s="1135">
        <f>IF(ISBLANK(C28),"",IF(RANK(Y28,$Y$28:$Y$29)&lt;2,"edasi "&amp;RANK(W28,$AA$24:$AA$31),RANK(W28,$Z$24:$Z$31)+4))</f>
        <v>7</v>
      </c>
      <c r="Y28" s="1133">
        <f>IF(COUNTA(C28:V28)=0,100,W28+IF(RANK(W28,$W$28:$W$29)=1,100,0))</f>
        <v>7</v>
      </c>
      <c r="Z28" s="901">
        <f>MIN(W28:W29)</f>
        <v>7</v>
      </c>
      <c r="AA28" s="901">
        <f>MAX(W28:W29)</f>
        <v>15</v>
      </c>
    </row>
    <row r="29" spans="1:27" x14ac:dyDescent="0.2">
      <c r="A29" s="1096">
        <v>7</v>
      </c>
      <c r="B29" s="1101" t="s">
        <v>68</v>
      </c>
      <c r="C29" s="1098">
        <v>3</v>
      </c>
      <c r="D29" s="1099">
        <v>0</v>
      </c>
      <c r="E29" s="1099">
        <v>0</v>
      </c>
      <c r="F29" s="1100">
        <v>0</v>
      </c>
      <c r="G29" s="1098">
        <v>3</v>
      </c>
      <c r="H29" s="1099">
        <v>3</v>
      </c>
      <c r="I29" s="1099">
        <v>0</v>
      </c>
      <c r="J29" s="1100">
        <v>0</v>
      </c>
      <c r="K29" s="1098">
        <v>3</v>
      </c>
      <c r="L29" s="1099">
        <v>0</v>
      </c>
      <c r="M29" s="1099">
        <v>0</v>
      </c>
      <c r="N29" s="1100">
        <v>0</v>
      </c>
      <c r="O29" s="1098">
        <v>0</v>
      </c>
      <c r="P29" s="1099">
        <v>3</v>
      </c>
      <c r="Q29" s="1099">
        <v>0</v>
      </c>
      <c r="R29" s="1100">
        <v>0</v>
      </c>
      <c r="S29" s="1098">
        <v>0</v>
      </c>
      <c r="T29" s="1099">
        <v>0</v>
      </c>
      <c r="U29" s="1099">
        <v>0</v>
      </c>
      <c r="V29" s="1100">
        <v>0</v>
      </c>
      <c r="W29" s="890">
        <f t="shared" si="2"/>
        <v>15</v>
      </c>
      <c r="X29" s="1135" t="str">
        <f>IF(ISBLANK(C29),"",IF(RANK(Y29,$Y$28:$Y$29)&lt;2,"edasi "&amp;RANK(W29,$AA$24:$AA$31),RANK(W29,$Z$24:$Z$31)+4))</f>
        <v>edasi 2</v>
      </c>
      <c r="Y29" s="1134">
        <f>IF(COUNTA(C29:V29)=0,0,W29+IF(RANK(W29,$W$28:$W$29)=1,100,0))</f>
        <v>115</v>
      </c>
      <c r="Z29" s="901"/>
      <c r="AA29" s="901"/>
    </row>
    <row r="30" spans="1:27" x14ac:dyDescent="0.2">
      <c r="A30" s="934">
        <v>1</v>
      </c>
      <c r="B30" s="915" t="s">
        <v>54</v>
      </c>
      <c r="C30" s="925">
        <v>0</v>
      </c>
      <c r="D30" s="926">
        <v>3</v>
      </c>
      <c r="E30" s="926">
        <v>3</v>
      </c>
      <c r="F30" s="927">
        <v>0</v>
      </c>
      <c r="G30" s="925">
        <v>0</v>
      </c>
      <c r="H30" s="926">
        <v>0</v>
      </c>
      <c r="I30" s="926">
        <v>0</v>
      </c>
      <c r="J30" s="927">
        <v>0</v>
      </c>
      <c r="K30" s="925">
        <v>1</v>
      </c>
      <c r="L30" s="926">
        <v>0</v>
      </c>
      <c r="M30" s="926">
        <v>0</v>
      </c>
      <c r="N30" s="927">
        <v>0</v>
      </c>
      <c r="O30" s="925">
        <v>0</v>
      </c>
      <c r="P30" s="926">
        <v>0</v>
      </c>
      <c r="Q30" s="926">
        <v>0</v>
      </c>
      <c r="R30" s="927">
        <v>0</v>
      </c>
      <c r="S30" s="925">
        <v>0</v>
      </c>
      <c r="T30" s="926">
        <v>0</v>
      </c>
      <c r="U30" s="926">
        <v>0</v>
      </c>
      <c r="V30" s="927">
        <v>0</v>
      </c>
      <c r="W30" s="928">
        <f t="shared" si="2"/>
        <v>7</v>
      </c>
      <c r="X30" s="939">
        <f>IF(ISBLANK(C30),"",IF(RANK(Y30,$Y$30:$Y$31)&lt;2,"edasi "&amp;RANK(W30,$AA$24:$AA$31),RANK(W30,$Z$24:$Z$31)+4))</f>
        <v>7</v>
      </c>
      <c r="Y30" s="1133">
        <f>IF(COUNTA(C30:V30)=0,100,W30+IF(RANK(W30,$W$30:$W$31)=1,100,0))</f>
        <v>7</v>
      </c>
      <c r="Z30" s="901">
        <f>MIN(W30:W31)</f>
        <v>7</v>
      </c>
      <c r="AA30" s="901">
        <f>MAX(W30:W31)</f>
        <v>37</v>
      </c>
    </row>
    <row r="31" spans="1:27" ht="13.5" thickBot="1" x14ac:dyDescent="0.25">
      <c r="A31" s="904">
        <v>8</v>
      </c>
      <c r="B31" s="1126" t="s">
        <v>43</v>
      </c>
      <c r="C31" s="905">
        <v>3</v>
      </c>
      <c r="D31" s="906">
        <v>5</v>
      </c>
      <c r="E31" s="906">
        <v>0</v>
      </c>
      <c r="F31" s="907">
        <v>0</v>
      </c>
      <c r="G31" s="905">
        <v>0</v>
      </c>
      <c r="H31" s="906">
        <v>0</v>
      </c>
      <c r="I31" s="906">
        <v>0</v>
      </c>
      <c r="J31" s="907">
        <v>3</v>
      </c>
      <c r="K31" s="905">
        <v>3</v>
      </c>
      <c r="L31" s="906">
        <v>5</v>
      </c>
      <c r="M31" s="906">
        <v>3</v>
      </c>
      <c r="N31" s="907">
        <v>1</v>
      </c>
      <c r="O31" s="905">
        <v>1</v>
      </c>
      <c r="P31" s="906">
        <v>0</v>
      </c>
      <c r="Q31" s="906">
        <v>0</v>
      </c>
      <c r="R31" s="907">
        <v>0</v>
      </c>
      <c r="S31" s="905">
        <v>0</v>
      </c>
      <c r="T31" s="906">
        <v>3</v>
      </c>
      <c r="U31" s="906">
        <v>5</v>
      </c>
      <c r="V31" s="907">
        <v>5</v>
      </c>
      <c r="W31" s="908">
        <f t="shared" si="2"/>
        <v>37</v>
      </c>
      <c r="X31" s="1127" t="str">
        <f>IF(ISBLANK(C31),"",IF(RANK(Y31,$Y$30:$Y$31)&lt;2,"edasi "&amp;RANK(W31,$AA$24:$AA$31),RANK(W31,$Z$24:$Z$31)+4))</f>
        <v>edasi 1</v>
      </c>
      <c r="Y31" s="1134">
        <f>IF(COUNTA(C31:V31)=0,0,W31+IF(RANK(W31,$W$30:$W$31)=1,100,0))</f>
        <v>137</v>
      </c>
      <c r="Z31" s="901"/>
      <c r="AA31" s="901"/>
    </row>
    <row r="32" spans="1:27" x14ac:dyDescent="0.2">
      <c r="A32" s="881"/>
      <c r="B32" s="1128" t="s">
        <v>605</v>
      </c>
      <c r="C32" s="1122"/>
      <c r="D32" s="1123"/>
      <c r="E32" s="1123"/>
      <c r="F32" s="1124"/>
      <c r="G32" s="1122"/>
      <c r="H32" s="1123"/>
      <c r="I32" s="1123"/>
      <c r="J32" s="1124"/>
      <c r="K32" s="1122"/>
      <c r="L32" s="1123"/>
      <c r="M32" s="1123"/>
      <c r="N32" s="1124"/>
      <c r="O32" s="1122"/>
      <c r="P32" s="1123"/>
      <c r="Q32" s="1123"/>
      <c r="R32" s="1124"/>
      <c r="S32" s="1122"/>
      <c r="T32" s="1123"/>
      <c r="U32" s="1123"/>
      <c r="V32" s="1124"/>
      <c r="W32" s="1129"/>
      <c r="X32" s="1125"/>
      <c r="Y32" s="929"/>
      <c r="Z32" s="930"/>
      <c r="AA32" s="930"/>
    </row>
    <row r="33" spans="1:27" x14ac:dyDescent="0.2">
      <c r="A33" s="934"/>
      <c r="B33" s="933" t="s">
        <v>58</v>
      </c>
      <c r="C33" s="925"/>
      <c r="D33" s="926">
        <v>3</v>
      </c>
      <c r="E33" s="926"/>
      <c r="F33" s="927"/>
      <c r="G33" s="925"/>
      <c r="H33" s="926">
        <v>0</v>
      </c>
      <c r="I33" s="926"/>
      <c r="J33" s="927"/>
      <c r="K33" s="925"/>
      <c r="L33" s="926">
        <v>0</v>
      </c>
      <c r="M33" s="926"/>
      <c r="N33" s="927"/>
      <c r="O33" s="925"/>
      <c r="P33" s="926">
        <v>0</v>
      </c>
      <c r="Q33" s="926"/>
      <c r="R33" s="927"/>
      <c r="S33" s="925"/>
      <c r="T33" s="926">
        <v>0</v>
      </c>
      <c r="U33" s="926"/>
      <c r="V33" s="927"/>
      <c r="W33" s="928">
        <f>SUM(C33:V33)</f>
        <v>3</v>
      </c>
      <c r="X33" s="939">
        <v>5</v>
      </c>
      <c r="Y33" s="929"/>
      <c r="Z33" s="930"/>
      <c r="AA33" s="930"/>
    </row>
    <row r="34" spans="1:27" ht="13.5" thickBot="1" x14ac:dyDescent="0.25">
      <c r="A34" s="904"/>
      <c r="B34" s="1130" t="s">
        <v>52</v>
      </c>
      <c r="C34" s="905"/>
      <c r="D34" s="906">
        <v>5</v>
      </c>
      <c r="E34" s="906"/>
      <c r="F34" s="907"/>
      <c r="G34" s="905"/>
      <c r="H34" s="906">
        <v>1</v>
      </c>
      <c r="I34" s="906"/>
      <c r="J34" s="907"/>
      <c r="K34" s="905"/>
      <c r="L34" s="906">
        <v>0</v>
      </c>
      <c r="M34" s="906"/>
      <c r="N34" s="907"/>
      <c r="O34" s="905"/>
      <c r="P34" s="906">
        <v>0</v>
      </c>
      <c r="Q34" s="906"/>
      <c r="R34" s="907"/>
      <c r="S34" s="905"/>
      <c r="T34" s="906">
        <v>0</v>
      </c>
      <c r="U34" s="906"/>
      <c r="V34" s="907"/>
      <c r="W34" s="908">
        <f>SUM(C34:V34)</f>
        <v>6</v>
      </c>
      <c r="X34" s="1127" t="s">
        <v>564</v>
      </c>
      <c r="Y34" s="929"/>
      <c r="Z34" s="930"/>
      <c r="AA34" s="930"/>
    </row>
    <row r="35" spans="1:27" x14ac:dyDescent="0.2">
      <c r="A35" s="881"/>
      <c r="B35" s="1121" t="s">
        <v>560</v>
      </c>
      <c r="C35" s="1122"/>
      <c r="D35" s="1123"/>
      <c r="E35" s="1123"/>
      <c r="F35" s="1124"/>
      <c r="G35" s="1122"/>
      <c r="H35" s="1123"/>
      <c r="I35" s="1123"/>
      <c r="J35" s="1124"/>
      <c r="K35" s="1122"/>
      <c r="L35" s="1123"/>
      <c r="M35" s="1123"/>
      <c r="N35" s="1124"/>
      <c r="O35" s="1122"/>
      <c r="P35" s="1123"/>
      <c r="Q35" s="1123"/>
      <c r="R35" s="1124"/>
      <c r="S35" s="1122"/>
      <c r="T35" s="1123"/>
      <c r="U35" s="1123"/>
      <c r="V35" s="1124"/>
      <c r="W35" s="1125"/>
      <c r="X35" s="1125"/>
    </row>
    <row r="36" spans="1:27" x14ac:dyDescent="0.2">
      <c r="A36" s="1096">
        <v>2</v>
      </c>
      <c r="B36" s="1102" t="s">
        <v>68</v>
      </c>
      <c r="C36" s="1098">
        <v>3</v>
      </c>
      <c r="D36" s="1099">
        <v>0</v>
      </c>
      <c r="E36" s="1099">
        <v>0</v>
      </c>
      <c r="F36" s="1100">
        <v>0</v>
      </c>
      <c r="G36" s="1098">
        <v>3</v>
      </c>
      <c r="H36" s="1099">
        <v>0</v>
      </c>
      <c r="I36" s="1099">
        <v>0</v>
      </c>
      <c r="J36" s="1100">
        <v>0</v>
      </c>
      <c r="K36" s="1098">
        <v>0</v>
      </c>
      <c r="L36" s="1099">
        <v>1</v>
      </c>
      <c r="M36" s="1099">
        <v>0</v>
      </c>
      <c r="N36" s="1100">
        <v>0</v>
      </c>
      <c r="O36" s="1098">
        <v>1</v>
      </c>
      <c r="P36" s="1099">
        <v>0</v>
      </c>
      <c r="Q36" s="1099">
        <v>0</v>
      </c>
      <c r="R36" s="1100">
        <v>0</v>
      </c>
      <c r="S36" s="1098">
        <v>0</v>
      </c>
      <c r="T36" s="1099">
        <v>0</v>
      </c>
      <c r="U36" s="1099">
        <v>0</v>
      </c>
      <c r="V36" s="1100">
        <v>0</v>
      </c>
      <c r="W36" s="890">
        <f>SUM(C36:V36)</f>
        <v>8</v>
      </c>
      <c r="X36" s="1135" t="str">
        <f>IF(COUNTA(C36:V36)=0,"",IF(W36=W37,"ümbervisk",IF(W36&gt;W37,"finaali "&amp;(IF(W36&lt;MAX(W38:W39),2,IF(W36=MAX(W38:W39),"",1))),"pronksi "&amp;(IF(W36&lt;MIN(W38:W39),2,IF(W36=MIN(W38:W39),"",1))))))</f>
        <v>pronksi 2</v>
      </c>
    </row>
    <row r="37" spans="1:27" x14ac:dyDescent="0.2">
      <c r="A37" s="1096">
        <v>3</v>
      </c>
      <c r="B37" s="916" t="s">
        <v>52</v>
      </c>
      <c r="C37" s="1098">
        <v>0</v>
      </c>
      <c r="D37" s="1099">
        <v>3</v>
      </c>
      <c r="E37" s="1099">
        <v>0</v>
      </c>
      <c r="F37" s="1100">
        <v>3</v>
      </c>
      <c r="G37" s="1098">
        <v>0</v>
      </c>
      <c r="H37" s="1099">
        <v>0</v>
      </c>
      <c r="I37" s="1099">
        <v>0</v>
      </c>
      <c r="J37" s="1100">
        <v>0</v>
      </c>
      <c r="K37" s="1098">
        <v>1</v>
      </c>
      <c r="L37" s="1099">
        <v>1</v>
      </c>
      <c r="M37" s="1099">
        <v>0</v>
      </c>
      <c r="N37" s="1100">
        <v>1</v>
      </c>
      <c r="O37" s="1098">
        <v>0</v>
      </c>
      <c r="P37" s="1099">
        <v>3</v>
      </c>
      <c r="Q37" s="1099">
        <v>0</v>
      </c>
      <c r="R37" s="1100">
        <v>0</v>
      </c>
      <c r="S37" s="1098">
        <v>0</v>
      </c>
      <c r="T37" s="1099">
        <v>3</v>
      </c>
      <c r="U37" s="1099">
        <v>0</v>
      </c>
      <c r="V37" s="1100">
        <v>0</v>
      </c>
      <c r="W37" s="890">
        <f>SUM(C37:V37)</f>
        <v>15</v>
      </c>
      <c r="X37" s="1135" t="str">
        <f>IF(COUNTA(C37:V37)=0,"",IF(W36=W37,"ümbervisk",IF(W37&gt;W36,"finaali "&amp;(IF(W37&lt;MAX(W38:W39),2,IF(W37=MAX(W38:W39),"",1))),"pronksi "&amp;(IF(W37&lt;MIN(W38:W39),2,IF(W37=MIN(W38:W39),"",1))))))</f>
        <v>finaali 2</v>
      </c>
    </row>
    <row r="38" spans="1:27" x14ac:dyDescent="0.2">
      <c r="A38" s="934">
        <v>1</v>
      </c>
      <c r="B38" s="921" t="s">
        <v>43</v>
      </c>
      <c r="C38" s="925">
        <v>3</v>
      </c>
      <c r="D38" s="926">
        <v>3</v>
      </c>
      <c r="E38" s="926">
        <v>1</v>
      </c>
      <c r="F38" s="927">
        <v>3</v>
      </c>
      <c r="G38" s="925">
        <v>0</v>
      </c>
      <c r="H38" s="926">
        <v>0</v>
      </c>
      <c r="I38" s="926">
        <v>0</v>
      </c>
      <c r="J38" s="927">
        <v>0</v>
      </c>
      <c r="K38" s="925">
        <v>1</v>
      </c>
      <c r="L38" s="926">
        <v>0</v>
      </c>
      <c r="M38" s="926">
        <v>3</v>
      </c>
      <c r="N38" s="927">
        <v>1</v>
      </c>
      <c r="O38" s="925">
        <v>0</v>
      </c>
      <c r="P38" s="926">
        <v>3</v>
      </c>
      <c r="Q38" s="926">
        <v>0</v>
      </c>
      <c r="R38" s="927">
        <v>0</v>
      </c>
      <c r="S38" s="925">
        <v>0</v>
      </c>
      <c r="T38" s="926">
        <v>0</v>
      </c>
      <c r="U38" s="926">
        <v>0</v>
      </c>
      <c r="V38" s="927">
        <v>0</v>
      </c>
      <c r="W38" s="928">
        <f>SUM(C38:V38)</f>
        <v>18</v>
      </c>
      <c r="X38" s="939" t="str">
        <f>IF(COUNTA(C38:V38)=0,"",IF(W38=W39,"ümbervisk",IF(W38&gt;W39,"finaali "&amp;(IF(W38&lt;MAX(W36:W37),2,IF(W38=MAX(W36:W37),"",1))),"pronksi "&amp;(IF(W38&lt;MIN(W36:W37),2,IF(W38=MIN(W36:W37),"",1))))))</f>
        <v>finaali 1</v>
      </c>
    </row>
    <row r="39" spans="1:27" ht="13.5" thickBot="1" x14ac:dyDescent="0.25">
      <c r="A39" s="904">
        <v>4</v>
      </c>
      <c r="B39" s="918" t="s">
        <v>47</v>
      </c>
      <c r="C39" s="905">
        <v>1</v>
      </c>
      <c r="D39" s="906">
        <v>1</v>
      </c>
      <c r="E39" s="906">
        <v>1</v>
      </c>
      <c r="F39" s="907">
        <v>0</v>
      </c>
      <c r="G39" s="905">
        <v>1</v>
      </c>
      <c r="H39" s="906">
        <v>0</v>
      </c>
      <c r="I39" s="906">
        <v>0</v>
      </c>
      <c r="J39" s="907">
        <v>0</v>
      </c>
      <c r="K39" s="905">
        <v>0</v>
      </c>
      <c r="L39" s="906">
        <v>0</v>
      </c>
      <c r="M39" s="906">
        <v>0</v>
      </c>
      <c r="N39" s="907">
        <v>0</v>
      </c>
      <c r="O39" s="905">
        <v>3</v>
      </c>
      <c r="P39" s="906">
        <v>0</v>
      </c>
      <c r="Q39" s="906">
        <v>5</v>
      </c>
      <c r="R39" s="907">
        <v>0</v>
      </c>
      <c r="S39" s="905">
        <v>0</v>
      </c>
      <c r="T39" s="906">
        <v>0</v>
      </c>
      <c r="U39" s="906">
        <v>0</v>
      </c>
      <c r="V39" s="907">
        <v>0</v>
      </c>
      <c r="W39" s="908">
        <f>SUM(C39:V39)</f>
        <v>12</v>
      </c>
      <c r="X39" s="1127" t="str">
        <f>IF(COUNTA(C39:V39)=0,"",IF(W38=W39,"ümbervisk",IF(W39&gt;W38,"finaali "&amp;(IF(W39&lt;MAX(W36:W37),2,IF(W39=MAX(W36:W37),"",1))),"pronksi "&amp;(IF(W39&lt;MIN(W36:W37),2,IF(W39=MIN(W36:W37),"",1))))))</f>
        <v>pronksi 1</v>
      </c>
    </row>
    <row r="40" spans="1:27" x14ac:dyDescent="0.2">
      <c r="A40" s="881"/>
      <c r="B40" s="1131" t="s">
        <v>561</v>
      </c>
      <c r="C40" s="1122"/>
      <c r="D40" s="1123"/>
      <c r="E40" s="1123"/>
      <c r="F40" s="1124"/>
      <c r="G40" s="1122"/>
      <c r="H40" s="1123"/>
      <c r="I40" s="1123"/>
      <c r="J40" s="1124"/>
      <c r="K40" s="1122"/>
      <c r="L40" s="1123"/>
      <c r="M40" s="1123"/>
      <c r="N40" s="1124"/>
      <c r="O40" s="1122"/>
      <c r="P40" s="1123"/>
      <c r="Q40" s="1123"/>
      <c r="R40" s="1124"/>
      <c r="S40" s="1122"/>
      <c r="T40" s="1123"/>
      <c r="U40" s="1123"/>
      <c r="V40" s="1124"/>
      <c r="W40" s="1129"/>
      <c r="X40" s="1125"/>
    </row>
    <row r="41" spans="1:27" x14ac:dyDescent="0.2">
      <c r="A41" s="934"/>
      <c r="B41" s="921" t="s">
        <v>68</v>
      </c>
      <c r="C41" s="925">
        <v>3</v>
      </c>
      <c r="D41" s="926">
        <v>1</v>
      </c>
      <c r="E41" s="926">
        <v>0</v>
      </c>
      <c r="F41" s="927">
        <v>0</v>
      </c>
      <c r="G41" s="925">
        <v>3</v>
      </c>
      <c r="H41" s="926">
        <v>1</v>
      </c>
      <c r="I41" s="926">
        <v>1</v>
      </c>
      <c r="J41" s="927">
        <v>0</v>
      </c>
      <c r="K41" s="925">
        <v>1</v>
      </c>
      <c r="L41" s="926">
        <v>0</v>
      </c>
      <c r="M41" s="926">
        <v>1</v>
      </c>
      <c r="N41" s="927">
        <v>0</v>
      </c>
      <c r="O41" s="925">
        <v>0</v>
      </c>
      <c r="P41" s="926">
        <v>0</v>
      </c>
      <c r="Q41" s="926">
        <v>0</v>
      </c>
      <c r="R41" s="927">
        <v>0</v>
      </c>
      <c r="S41" s="925">
        <v>3</v>
      </c>
      <c r="T41" s="926">
        <v>0</v>
      </c>
      <c r="U41" s="926">
        <v>0</v>
      </c>
      <c r="V41" s="927">
        <v>0</v>
      </c>
      <c r="W41" s="928">
        <f>SUM(C41:V41)</f>
        <v>14</v>
      </c>
      <c r="X41" s="882">
        <f ca="1">IF( INDIRECT("RC[-1]",0)=MAX(( INDIRECT("R[-1]C[-1]",0)):( INDIRECT("R[1]C[-1]",0))),3,4)</f>
        <v>4</v>
      </c>
    </row>
    <row r="42" spans="1:27" x14ac:dyDescent="0.2">
      <c r="A42" s="934"/>
      <c r="B42" s="917" t="s">
        <v>47</v>
      </c>
      <c r="C42" s="925">
        <v>0</v>
      </c>
      <c r="D42" s="926">
        <v>0</v>
      </c>
      <c r="E42" s="926">
        <v>1</v>
      </c>
      <c r="F42" s="927">
        <v>0</v>
      </c>
      <c r="G42" s="925">
        <v>0</v>
      </c>
      <c r="H42" s="926">
        <v>1</v>
      </c>
      <c r="I42" s="926">
        <v>0</v>
      </c>
      <c r="J42" s="903">
        <v>0</v>
      </c>
      <c r="K42" s="925">
        <v>3</v>
      </c>
      <c r="L42" s="926">
        <v>3</v>
      </c>
      <c r="M42" s="926">
        <v>0</v>
      </c>
      <c r="N42" s="927">
        <v>0</v>
      </c>
      <c r="O42" s="925">
        <v>5</v>
      </c>
      <c r="P42" s="926">
        <v>0</v>
      </c>
      <c r="Q42" s="926">
        <v>0</v>
      </c>
      <c r="R42" s="927">
        <v>0</v>
      </c>
      <c r="S42" s="925">
        <v>0</v>
      </c>
      <c r="T42" s="926">
        <v>0</v>
      </c>
      <c r="U42" s="926">
        <v>5</v>
      </c>
      <c r="V42" s="927" t="s">
        <v>147</v>
      </c>
      <c r="W42" s="928">
        <f>SUM(C42:V42)</f>
        <v>18</v>
      </c>
      <c r="X42" s="882">
        <f ca="1">IF( INDIRECT("RC[-1]",0)=MAX(( INDIRECT("R[-1]C[-1]",0)):( INDIRECT("R[1]C[-1]",0))),3,4)</f>
        <v>3</v>
      </c>
    </row>
    <row r="43" spans="1:27" x14ac:dyDescent="0.2">
      <c r="A43" s="934"/>
      <c r="B43" s="902" t="s">
        <v>562</v>
      </c>
      <c r="C43" s="925"/>
      <c r="D43" s="926"/>
      <c r="E43" s="926"/>
      <c r="F43" s="927"/>
      <c r="G43" s="925"/>
      <c r="H43" s="926"/>
      <c r="I43" s="926"/>
      <c r="J43" s="927"/>
      <c r="K43" s="925"/>
      <c r="L43" s="926"/>
      <c r="M43" s="926"/>
      <c r="N43" s="927"/>
      <c r="O43" s="925"/>
      <c r="P43" s="926"/>
      <c r="Q43" s="926"/>
      <c r="R43" s="927"/>
      <c r="S43" s="925"/>
      <c r="T43" s="926"/>
      <c r="U43" s="926"/>
      <c r="V43" s="927"/>
      <c r="W43" s="928"/>
      <c r="X43" s="939"/>
    </row>
    <row r="44" spans="1:27" x14ac:dyDescent="0.2">
      <c r="A44" s="934"/>
      <c r="B44" s="914" t="s">
        <v>52</v>
      </c>
      <c r="C44" s="925">
        <v>0</v>
      </c>
      <c r="D44" s="926">
        <v>0</v>
      </c>
      <c r="E44" s="926">
        <v>0</v>
      </c>
      <c r="F44" s="927">
        <v>0</v>
      </c>
      <c r="G44" s="925">
        <v>0</v>
      </c>
      <c r="H44" s="926">
        <v>0</v>
      </c>
      <c r="I44" s="926">
        <v>0</v>
      </c>
      <c r="J44" s="927">
        <v>0</v>
      </c>
      <c r="K44" s="925">
        <v>1</v>
      </c>
      <c r="L44" s="926">
        <v>1</v>
      </c>
      <c r="M44" s="926">
        <v>0</v>
      </c>
      <c r="N44" s="927">
        <v>0</v>
      </c>
      <c r="O44" s="925">
        <v>0</v>
      </c>
      <c r="P44" s="926">
        <v>0</v>
      </c>
      <c r="Q44" s="926">
        <v>0</v>
      </c>
      <c r="R44" s="927">
        <v>0</v>
      </c>
      <c r="S44" s="925">
        <v>0</v>
      </c>
      <c r="T44" s="926">
        <v>0</v>
      </c>
      <c r="U44" s="926">
        <v>0</v>
      </c>
      <c r="V44" s="927">
        <v>0</v>
      </c>
      <c r="W44" s="928">
        <f>SUM(C44:V44)</f>
        <v>2</v>
      </c>
      <c r="X44" s="882">
        <f ca="1">IF( INDIRECT("RC[-1]",0)=MAX(( INDIRECT("R[-1]C[-1]",0)):( INDIRECT("R[1]C[-1]",0))),1,2)</f>
        <v>2</v>
      </c>
    </row>
    <row r="45" spans="1:27" ht="13.5" thickBot="1" x14ac:dyDescent="0.25">
      <c r="A45" s="904"/>
      <c r="B45" s="918" t="s">
        <v>43</v>
      </c>
      <c r="C45" s="905">
        <v>5</v>
      </c>
      <c r="D45" s="906">
        <v>0</v>
      </c>
      <c r="E45" s="906">
        <v>0</v>
      </c>
      <c r="F45" s="907">
        <v>0</v>
      </c>
      <c r="G45" s="905">
        <v>0</v>
      </c>
      <c r="H45" s="906">
        <v>3</v>
      </c>
      <c r="I45" s="906">
        <v>0</v>
      </c>
      <c r="J45" s="907">
        <v>0</v>
      </c>
      <c r="K45" s="905">
        <v>1</v>
      </c>
      <c r="L45" s="906">
        <v>1</v>
      </c>
      <c r="M45" s="906">
        <v>0</v>
      </c>
      <c r="N45" s="907">
        <v>1</v>
      </c>
      <c r="O45" s="905">
        <v>0</v>
      </c>
      <c r="P45" s="906">
        <v>0</v>
      </c>
      <c r="Q45" s="906">
        <v>0</v>
      </c>
      <c r="R45" s="907">
        <v>3</v>
      </c>
      <c r="S45" s="905">
        <v>0</v>
      </c>
      <c r="T45" s="906">
        <v>0</v>
      </c>
      <c r="U45" s="906">
        <v>0</v>
      </c>
      <c r="V45" s="907">
        <v>0</v>
      </c>
      <c r="W45" s="908">
        <f>SUM(C45:V45)</f>
        <v>14</v>
      </c>
      <c r="X45" s="909">
        <f ca="1">IF( INDIRECT("RC[-1]",0)=MAX(( INDIRECT("R[-1]C[-1]",0)):( INDIRECT("R[1]C[-1]",0))),1,2)</f>
        <v>1</v>
      </c>
    </row>
    <row r="46" spans="1:27" x14ac:dyDescent="0.2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</row>
    <row r="47" spans="1:27" x14ac:dyDescent="0.2">
      <c r="A47" s="935">
        <v>1</v>
      </c>
      <c r="B47" s="910" t="s">
        <v>43</v>
      </c>
      <c r="C47" s="900"/>
      <c r="D47" s="900"/>
      <c r="E47" s="900"/>
      <c r="F47" s="900"/>
      <c r="G47" s="935">
        <v>11</v>
      </c>
      <c r="H47" s="1103" t="s">
        <v>339</v>
      </c>
      <c r="I47" s="1104"/>
      <c r="J47" s="1104"/>
      <c r="K47" s="1104"/>
      <c r="L47" s="1104"/>
      <c r="M47" s="1104"/>
      <c r="N47" s="1105"/>
      <c r="O47" s="900"/>
      <c r="P47" s="900"/>
      <c r="Q47" s="900"/>
      <c r="R47" s="900"/>
      <c r="S47" s="900"/>
      <c r="T47" s="900"/>
      <c r="U47" s="900"/>
      <c r="V47" s="900"/>
      <c r="W47" s="900"/>
      <c r="X47" s="900"/>
    </row>
    <row r="48" spans="1:27" x14ac:dyDescent="0.2">
      <c r="A48" s="935">
        <v>2</v>
      </c>
      <c r="B48" s="936" t="s">
        <v>52</v>
      </c>
      <c r="C48" s="900"/>
      <c r="D48" s="900"/>
      <c r="E48" s="900"/>
      <c r="F48" s="900"/>
      <c r="G48" s="935">
        <v>12</v>
      </c>
      <c r="H48" s="1106" t="s">
        <v>57</v>
      </c>
      <c r="I48" s="1104"/>
      <c r="J48" s="1104"/>
      <c r="K48" s="1104"/>
      <c r="L48" s="1104"/>
      <c r="M48" s="1104"/>
      <c r="N48" s="1105"/>
      <c r="O48" s="900"/>
      <c r="P48" s="900"/>
      <c r="Q48" s="900"/>
      <c r="R48" s="900"/>
      <c r="S48" s="900"/>
      <c r="T48" s="900"/>
      <c r="U48" s="900"/>
      <c r="V48" s="900"/>
      <c r="W48" s="900"/>
      <c r="X48" s="900"/>
    </row>
    <row r="49" spans="1:24" x14ac:dyDescent="0.2">
      <c r="A49" s="935">
        <v>3</v>
      </c>
      <c r="B49" s="937" t="s">
        <v>47</v>
      </c>
      <c r="C49" s="900"/>
      <c r="D49" s="900"/>
      <c r="E49" s="900"/>
      <c r="F49" s="900"/>
      <c r="G49" s="935">
        <v>12</v>
      </c>
      <c r="H49" s="1106" t="s">
        <v>49</v>
      </c>
      <c r="I49" s="1104"/>
      <c r="J49" s="1104"/>
      <c r="K49" s="1104"/>
      <c r="L49" s="1104"/>
      <c r="M49" s="1104"/>
      <c r="N49" s="1105"/>
      <c r="O49" s="900"/>
      <c r="P49" s="900"/>
      <c r="Q49" s="900"/>
      <c r="R49" s="900"/>
      <c r="S49" s="900"/>
      <c r="T49" s="900"/>
      <c r="U49" s="900"/>
      <c r="V49" s="900"/>
      <c r="W49" s="900"/>
      <c r="X49" s="900"/>
    </row>
    <row r="50" spans="1:24" x14ac:dyDescent="0.2">
      <c r="A50" s="935">
        <v>4</v>
      </c>
      <c r="B50" s="938" t="s">
        <v>68</v>
      </c>
      <c r="C50" s="900"/>
      <c r="D50" s="900"/>
      <c r="E50" s="900"/>
      <c r="F50" s="900"/>
      <c r="G50" s="935">
        <v>14</v>
      </c>
      <c r="H50" s="1103" t="s">
        <v>51</v>
      </c>
      <c r="I50" s="1104"/>
      <c r="J50" s="1104"/>
      <c r="K50" s="1104"/>
      <c r="L50" s="1104"/>
      <c r="M50" s="1104"/>
      <c r="N50" s="1105"/>
      <c r="O50" s="900"/>
      <c r="P50" s="900"/>
      <c r="Q50" s="900"/>
      <c r="R50" s="900"/>
      <c r="S50" s="900"/>
      <c r="T50" s="900"/>
      <c r="U50" s="900"/>
      <c r="V50" s="900"/>
      <c r="W50" s="900"/>
      <c r="X50" s="900"/>
    </row>
    <row r="51" spans="1:24" x14ac:dyDescent="0.2">
      <c r="A51" s="935">
        <v>5</v>
      </c>
      <c r="B51" s="938" t="s">
        <v>58</v>
      </c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</row>
    <row r="52" spans="1:24" x14ac:dyDescent="0.2">
      <c r="A52" s="935">
        <v>6</v>
      </c>
      <c r="B52" s="931" t="s">
        <v>81</v>
      </c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</row>
    <row r="53" spans="1:24" x14ac:dyDescent="0.2">
      <c r="A53" s="935">
        <v>7</v>
      </c>
      <c r="B53" s="920" t="s">
        <v>44</v>
      </c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</row>
    <row r="54" spans="1:24" x14ac:dyDescent="0.2">
      <c r="A54" s="935">
        <v>7</v>
      </c>
      <c r="B54" s="931" t="s">
        <v>54</v>
      </c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</row>
    <row r="55" spans="1:24" x14ac:dyDescent="0.2">
      <c r="A55" s="935">
        <v>9</v>
      </c>
      <c r="B55" s="931" t="s">
        <v>48</v>
      </c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/>
      <c r="V55" s="900"/>
      <c r="W55" s="900"/>
      <c r="X55" s="900"/>
    </row>
    <row r="56" spans="1:24" x14ac:dyDescent="0.2">
      <c r="A56" s="935">
        <v>10</v>
      </c>
      <c r="B56" s="938" t="s">
        <v>46</v>
      </c>
      <c r="C56" s="90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</row>
    <row r="57" spans="1:24" x14ac:dyDescent="0.2"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</row>
    <row r="58" spans="1:24" x14ac:dyDescent="0.2">
      <c r="C58" s="900"/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900"/>
      <c r="O58" s="900"/>
      <c r="P58" s="900"/>
      <c r="Q58" s="900"/>
      <c r="R58" s="900"/>
      <c r="S58" s="900"/>
      <c r="T58" s="900"/>
      <c r="U58" s="900"/>
      <c r="V58" s="900"/>
      <c r="W58" s="900"/>
      <c r="X58" s="900"/>
    </row>
    <row r="59" spans="1:24" x14ac:dyDescent="0.2"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</row>
    <row r="60" spans="1:24" x14ac:dyDescent="0.2"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</row>
  </sheetData>
  <conditionalFormatting sqref="W44:W45">
    <cfRule type="top10" dxfId="92" priority="20" rank="1"/>
  </conditionalFormatting>
  <conditionalFormatting sqref="W36:W37">
    <cfRule type="top10" dxfId="91" priority="23" rank="1"/>
  </conditionalFormatting>
  <conditionalFormatting sqref="W38:W39">
    <cfRule type="top10" dxfId="90" priority="22" rank="1"/>
  </conditionalFormatting>
  <conditionalFormatting sqref="W41:W42">
    <cfRule type="top10" dxfId="89" priority="21" rank="1"/>
  </conditionalFormatting>
  <conditionalFormatting sqref="X9:X22">
    <cfRule type="duplicateValues" dxfId="88" priority="76"/>
    <cfRule type="top10" dxfId="87" priority="77" stopIfTrue="1" rank="100"/>
  </conditionalFormatting>
  <conditionalFormatting sqref="B9:B22">
    <cfRule type="duplicateValues" dxfId="86" priority="78" stopIfTrue="1"/>
  </conditionalFormatting>
  <conditionalFormatting sqref="W24:W25">
    <cfRule type="top10" dxfId="85" priority="11" rank="1"/>
  </conditionalFormatting>
  <conditionalFormatting sqref="W26:W27">
    <cfRule type="top10" dxfId="84" priority="10" rank="1"/>
  </conditionalFormatting>
  <conditionalFormatting sqref="W28:W29">
    <cfRule type="top10" dxfId="83" priority="9" rank="1"/>
  </conditionalFormatting>
  <conditionalFormatting sqref="B28">
    <cfRule type="duplicateValues" dxfId="82" priority="6" stopIfTrue="1"/>
  </conditionalFormatting>
  <conditionalFormatting sqref="B30">
    <cfRule type="duplicateValues" dxfId="81" priority="5" stopIfTrue="1"/>
  </conditionalFormatting>
  <conditionalFormatting sqref="B53">
    <cfRule type="duplicateValues" dxfId="80" priority="4" stopIfTrue="1"/>
  </conditionalFormatting>
  <conditionalFormatting sqref="H49">
    <cfRule type="duplicateValues" dxfId="79" priority="3" stopIfTrue="1"/>
  </conditionalFormatting>
  <conditionalFormatting sqref="H50">
    <cfRule type="duplicateValues" dxfId="78" priority="2" stopIfTrue="1"/>
  </conditionalFormatting>
  <conditionalFormatting sqref="B47:B50 B54:B56 H47:H48">
    <cfRule type="duplicateValues" dxfId="77" priority="79" stopIfTrue="1"/>
  </conditionalFormatting>
  <conditionalFormatting sqref="X36:X39">
    <cfRule type="duplicateValues" dxfId="76" priority="167"/>
  </conditionalFormatting>
  <conditionalFormatting sqref="X24:X34">
    <cfRule type="duplicateValues" dxfId="75" priority="198"/>
    <cfRule type="top10" dxfId="74" priority="199" stopIfTrue="1" rank="4"/>
  </conditionalFormatting>
  <conditionalFormatting sqref="W9:W45">
    <cfRule type="top10" dxfId="73" priority="202" stopIfTrue="1" rank="1"/>
  </conditionalFormatting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5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L1" sqref="L1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7.28515625" style="12" customWidth="1"/>
    <col min="4" max="4" width="7.42578125" style="12" bestFit="1" customWidth="1"/>
    <col min="5" max="5" width="9.140625" style="12" bestFit="1" customWidth="1"/>
    <col min="6" max="6" width="8.7109375" style="12" customWidth="1"/>
    <col min="7" max="7" width="5.140625" style="12" bestFit="1" customWidth="1"/>
    <col min="8" max="9" width="6.140625" style="12" customWidth="1"/>
    <col min="10" max="10" width="18.7109375" style="12" customWidth="1"/>
    <col min="11" max="11" width="7.28515625" style="12" bestFit="1" customWidth="1"/>
    <col min="12" max="12" width="7.42578125" style="12" customWidth="1"/>
    <col min="13" max="13" width="9.140625" style="12"/>
    <col min="14" max="14" width="8.7109375" style="12" bestFit="1" customWidth="1"/>
    <col min="15" max="15" width="5.140625" style="12" bestFit="1" customWidth="1"/>
    <col min="16" max="16384" width="9.140625" style="12"/>
  </cols>
  <sheetData>
    <row r="1" spans="1:15" x14ac:dyDescent="0.2">
      <c r="A1" s="11" t="str">
        <f>UPPER((Kalend!E40)&amp;" - "&amp;(Kalend!C40)&amp;" - "&amp;(Kalend!D40))</f>
        <v>13 - K-JÄRVE 17. MV - ÜKSIK</v>
      </c>
      <c r="H1" s="297" t="str">
        <f>HYPERLINK("#Kalend!I1","Kalender")</f>
        <v>Kalender</v>
      </c>
      <c r="I1" s="478"/>
      <c r="J1" s="297" t="str">
        <f>HYPERLINK("#Reit!G1","Reiting")</f>
        <v>Reiting</v>
      </c>
      <c r="K1" s="478"/>
      <c r="L1" s="478"/>
    </row>
    <row r="2" spans="1:15" x14ac:dyDescent="0.2">
      <c r="A2" s="9" t="str">
        <f>"Toimumisaeg: "&amp;(Kalend!A40)&amp;" kell "&amp;(Kalend!B40)</f>
        <v>Toimumisaeg: P, 25.09.2016 kell 11:00</v>
      </c>
    </row>
    <row r="3" spans="1:15" x14ac:dyDescent="0.2">
      <c r="A3" s="9" t="str">
        <f>"Toimumiskoht: "&amp;(Kalend!F40)</f>
        <v>Toimumiskoht: K-Järve spordihoone</v>
      </c>
    </row>
    <row r="4" spans="1:15" x14ac:dyDescent="0.2">
      <c r="A4" s="9" t="str">
        <f>"Korraldaja: "&amp;(Kalend!G40)</f>
        <v>Korraldaja: K-Järve SHK, Ivar Viljaste</v>
      </c>
    </row>
    <row r="6" spans="1:15" s="654" customFormat="1" x14ac:dyDescent="0.2">
      <c r="A6" s="556" t="s">
        <v>271</v>
      </c>
      <c r="B6" s="556"/>
      <c r="C6" s="334" t="s">
        <v>272</v>
      </c>
      <c r="D6" s="334" t="s">
        <v>273</v>
      </c>
      <c r="E6" s="334" t="s">
        <v>274</v>
      </c>
      <c r="F6" s="334" t="s">
        <v>275</v>
      </c>
      <c r="G6" s="334" t="s">
        <v>86</v>
      </c>
      <c r="I6" s="556" t="s">
        <v>366</v>
      </c>
      <c r="J6" s="556"/>
      <c r="K6" s="334" t="s">
        <v>272</v>
      </c>
      <c r="L6" s="334" t="s">
        <v>273</v>
      </c>
      <c r="M6" s="334" t="s">
        <v>274</v>
      </c>
      <c r="N6" s="334" t="s">
        <v>275</v>
      </c>
      <c r="O6" s="334" t="s">
        <v>86</v>
      </c>
    </row>
    <row r="7" spans="1:15" s="654" customFormat="1" x14ac:dyDescent="0.2">
      <c r="A7" s="556">
        <v>1</v>
      </c>
      <c r="B7" s="467" t="s">
        <v>43</v>
      </c>
      <c r="C7" s="557">
        <v>13</v>
      </c>
      <c r="D7" s="470">
        <v>13</v>
      </c>
      <c r="E7" s="557"/>
      <c r="F7" s="557"/>
      <c r="G7" s="973" t="s">
        <v>259</v>
      </c>
      <c r="I7" s="556">
        <v>1</v>
      </c>
      <c r="J7" s="558" t="s">
        <v>45</v>
      </c>
      <c r="K7" s="557">
        <v>13</v>
      </c>
      <c r="L7" s="557">
        <v>13</v>
      </c>
      <c r="M7" s="557"/>
      <c r="N7" s="557"/>
      <c r="O7" s="973" t="s">
        <v>259</v>
      </c>
    </row>
    <row r="8" spans="1:15" s="654" customFormat="1" x14ac:dyDescent="0.2">
      <c r="A8" s="556">
        <v>2</v>
      </c>
      <c r="B8" s="467" t="s">
        <v>46</v>
      </c>
      <c r="C8" s="557">
        <v>13</v>
      </c>
      <c r="D8" s="557">
        <v>3</v>
      </c>
      <c r="E8" s="557"/>
      <c r="F8" s="557">
        <v>13</v>
      </c>
      <c r="G8" s="973" t="s">
        <v>146</v>
      </c>
      <c r="I8" s="556">
        <v>2</v>
      </c>
      <c r="J8" s="561" t="s">
        <v>81</v>
      </c>
      <c r="K8" s="557">
        <v>13</v>
      </c>
      <c r="L8" s="974" t="s">
        <v>572</v>
      </c>
      <c r="M8" s="557"/>
      <c r="N8" s="557">
        <v>13</v>
      </c>
      <c r="O8" s="973" t="s">
        <v>146</v>
      </c>
    </row>
    <row r="9" spans="1:15" s="654" customFormat="1" x14ac:dyDescent="0.2">
      <c r="A9" s="556">
        <v>3</v>
      </c>
      <c r="B9" s="467" t="s">
        <v>571</v>
      </c>
      <c r="C9" s="557">
        <v>6</v>
      </c>
      <c r="D9" s="557"/>
      <c r="E9" s="557">
        <v>13</v>
      </c>
      <c r="F9" s="557">
        <v>12</v>
      </c>
      <c r="G9" s="973" t="s">
        <v>260</v>
      </c>
      <c r="I9" s="556">
        <v>3</v>
      </c>
      <c r="J9" s="467" t="s">
        <v>68</v>
      </c>
      <c r="K9" s="557">
        <v>9</v>
      </c>
      <c r="L9" s="557"/>
      <c r="M9" s="557">
        <v>13</v>
      </c>
      <c r="N9" s="557">
        <v>7</v>
      </c>
      <c r="O9" s="973" t="s">
        <v>260</v>
      </c>
    </row>
    <row r="10" spans="1:15" s="654" customFormat="1" x14ac:dyDescent="0.2">
      <c r="A10" s="556">
        <v>4</v>
      </c>
      <c r="B10" s="701"/>
      <c r="C10" s="557">
        <v>0</v>
      </c>
      <c r="D10" s="557"/>
      <c r="E10" s="557">
        <v>0</v>
      </c>
      <c r="F10" s="557"/>
      <c r="G10" s="702"/>
      <c r="I10" s="556">
        <v>4</v>
      </c>
      <c r="J10" s="701"/>
      <c r="K10" s="557">
        <v>0</v>
      </c>
      <c r="L10" s="557"/>
      <c r="M10" s="557">
        <v>0</v>
      </c>
      <c r="N10" s="557"/>
      <c r="O10" s="702"/>
    </row>
    <row r="11" spans="1:15" s="654" customFormat="1" x14ac:dyDescent="0.2">
      <c r="A11" s="471"/>
      <c r="B11" s="560"/>
      <c r="C11" s="472"/>
      <c r="D11" s="472"/>
      <c r="E11" s="472"/>
      <c r="F11" s="473"/>
      <c r="G11" s="763"/>
      <c r="I11" s="471"/>
      <c r="J11" s="560"/>
      <c r="K11" s="472"/>
      <c r="L11" s="472"/>
      <c r="M11" s="472"/>
      <c r="N11" s="473"/>
      <c r="O11" s="763"/>
    </row>
    <row r="12" spans="1:15" s="654" customFormat="1" x14ac:dyDescent="0.2">
      <c r="A12" s="556" t="s">
        <v>276</v>
      </c>
      <c r="B12" s="556"/>
      <c r="C12" s="334" t="s">
        <v>272</v>
      </c>
      <c r="D12" s="334" t="s">
        <v>273</v>
      </c>
      <c r="E12" s="334" t="s">
        <v>274</v>
      </c>
      <c r="F12" s="334" t="s">
        <v>275</v>
      </c>
      <c r="G12" s="334" t="s">
        <v>86</v>
      </c>
      <c r="I12" s="556" t="s">
        <v>367</v>
      </c>
      <c r="J12" s="556"/>
      <c r="K12" s="334" t="s">
        <v>272</v>
      </c>
      <c r="L12" s="334" t="s">
        <v>273</v>
      </c>
      <c r="M12" s="334" t="s">
        <v>274</v>
      </c>
      <c r="N12" s="334" t="s">
        <v>275</v>
      </c>
      <c r="O12" s="334" t="s">
        <v>86</v>
      </c>
    </row>
    <row r="13" spans="1:15" s="654" customFormat="1" x14ac:dyDescent="0.2">
      <c r="A13" s="556">
        <v>1</v>
      </c>
      <c r="B13" s="980" t="s">
        <v>47</v>
      </c>
      <c r="C13" s="557">
        <v>13</v>
      </c>
      <c r="D13" s="557">
        <v>9</v>
      </c>
      <c r="E13" s="557"/>
      <c r="F13" s="557">
        <v>11</v>
      </c>
      <c r="G13" s="973" t="s">
        <v>260</v>
      </c>
      <c r="I13" s="556">
        <v>1</v>
      </c>
      <c r="J13" s="467" t="s">
        <v>49</v>
      </c>
      <c r="K13" s="557">
        <v>13</v>
      </c>
      <c r="L13" s="557">
        <v>13</v>
      </c>
      <c r="M13" s="557"/>
      <c r="N13" s="557"/>
      <c r="O13" s="486" t="s">
        <v>259</v>
      </c>
    </row>
    <row r="14" spans="1:15" s="654" customFormat="1" x14ac:dyDescent="0.2">
      <c r="A14" s="556">
        <v>2</v>
      </c>
      <c r="B14" s="467" t="s">
        <v>64</v>
      </c>
      <c r="C14" s="557">
        <v>4</v>
      </c>
      <c r="D14" s="557"/>
      <c r="E14" s="557">
        <v>13</v>
      </c>
      <c r="F14" s="557">
        <v>13</v>
      </c>
      <c r="G14" s="973" t="s">
        <v>146</v>
      </c>
      <c r="I14" s="556">
        <v>2</v>
      </c>
      <c r="J14" s="467" t="s">
        <v>58</v>
      </c>
      <c r="K14" s="557">
        <v>13</v>
      </c>
      <c r="L14" s="557">
        <v>1</v>
      </c>
      <c r="M14" s="557"/>
      <c r="N14" s="557">
        <v>13</v>
      </c>
      <c r="O14" s="486" t="s">
        <v>146</v>
      </c>
    </row>
    <row r="15" spans="1:15" s="654" customFormat="1" x14ac:dyDescent="0.2">
      <c r="A15" s="556">
        <v>3</v>
      </c>
      <c r="B15" s="467" t="s">
        <v>54</v>
      </c>
      <c r="C15" s="557">
        <v>13</v>
      </c>
      <c r="D15" s="557">
        <v>13</v>
      </c>
      <c r="E15" s="557"/>
      <c r="F15" s="557"/>
      <c r="G15" s="973" t="s">
        <v>259</v>
      </c>
      <c r="I15" s="556">
        <v>3</v>
      </c>
      <c r="J15" s="467" t="s">
        <v>573</v>
      </c>
      <c r="K15" s="557">
        <v>9</v>
      </c>
      <c r="L15" s="557"/>
      <c r="M15" s="557">
        <v>13</v>
      </c>
      <c r="N15" s="557">
        <v>10</v>
      </c>
      <c r="O15" s="973" t="s">
        <v>260</v>
      </c>
    </row>
    <row r="16" spans="1:15" s="654" customFormat="1" x14ac:dyDescent="0.2">
      <c r="A16" s="556">
        <v>4</v>
      </c>
      <c r="B16" s="701"/>
      <c r="C16" s="557">
        <v>0</v>
      </c>
      <c r="D16" s="557"/>
      <c r="E16" s="557">
        <v>0</v>
      </c>
      <c r="F16" s="557"/>
      <c r="G16" s="702"/>
      <c r="I16" s="556">
        <v>4</v>
      </c>
      <c r="J16" s="701"/>
      <c r="K16" s="557">
        <v>0</v>
      </c>
      <c r="L16" s="557"/>
      <c r="M16" s="557">
        <v>0</v>
      </c>
      <c r="N16" s="557"/>
      <c r="O16" s="702"/>
    </row>
    <row r="17" spans="1:7" s="654" customFormat="1" x14ac:dyDescent="0.2">
      <c r="A17" s="471"/>
      <c r="B17" s="560"/>
      <c r="C17" s="472"/>
      <c r="D17" s="472"/>
      <c r="E17" s="472"/>
      <c r="F17" s="473"/>
      <c r="G17" s="763"/>
    </row>
    <row r="18" spans="1:7" s="654" customFormat="1" x14ac:dyDescent="0.2">
      <c r="A18" s="556" t="s">
        <v>299</v>
      </c>
      <c r="B18" s="556"/>
      <c r="C18" s="334" t="s">
        <v>272</v>
      </c>
      <c r="D18" s="334" t="s">
        <v>273</v>
      </c>
      <c r="E18" s="334" t="s">
        <v>274</v>
      </c>
      <c r="F18" s="334" t="s">
        <v>275</v>
      </c>
      <c r="G18" s="334" t="s">
        <v>86</v>
      </c>
    </row>
    <row r="19" spans="1:7" s="654" customFormat="1" x14ac:dyDescent="0.2">
      <c r="A19" s="556">
        <v>1</v>
      </c>
      <c r="B19" s="558" t="s">
        <v>48</v>
      </c>
      <c r="C19" s="557">
        <v>13</v>
      </c>
      <c r="D19" s="557">
        <v>13</v>
      </c>
      <c r="E19" s="557"/>
      <c r="F19" s="557"/>
      <c r="G19" s="973" t="s">
        <v>259</v>
      </c>
    </row>
    <row r="20" spans="1:7" s="654" customFormat="1" x14ac:dyDescent="0.2">
      <c r="A20" s="556">
        <v>2</v>
      </c>
      <c r="B20" s="467" t="s">
        <v>339</v>
      </c>
      <c r="C20" s="557">
        <v>13</v>
      </c>
      <c r="D20" s="557">
        <v>10</v>
      </c>
      <c r="E20" s="557"/>
      <c r="F20" s="557">
        <v>6</v>
      </c>
      <c r="G20" s="973" t="s">
        <v>260</v>
      </c>
    </row>
    <row r="21" spans="1:7" s="654" customFormat="1" x14ac:dyDescent="0.2">
      <c r="A21" s="556">
        <v>3</v>
      </c>
      <c r="B21" s="979" t="s">
        <v>57</v>
      </c>
      <c r="C21" s="557">
        <v>10</v>
      </c>
      <c r="D21" s="557"/>
      <c r="E21" s="557">
        <v>13</v>
      </c>
      <c r="F21" s="557">
        <v>13</v>
      </c>
      <c r="G21" s="973" t="s">
        <v>146</v>
      </c>
    </row>
    <row r="22" spans="1:7" s="654" customFormat="1" x14ac:dyDescent="0.2">
      <c r="A22" s="556">
        <v>4</v>
      </c>
      <c r="B22" s="701"/>
      <c r="C22" s="557">
        <v>0</v>
      </c>
      <c r="D22" s="557"/>
      <c r="E22" s="557">
        <v>0</v>
      </c>
      <c r="F22" s="557"/>
      <c r="G22" s="702"/>
    </row>
    <row r="23" spans="1:7" s="654" customFormat="1" x14ac:dyDescent="0.2"/>
    <row r="24" spans="1:7" s="654" customFormat="1" x14ac:dyDescent="0.2">
      <c r="A24" s="556" t="s">
        <v>369</v>
      </c>
      <c r="B24" s="556"/>
      <c r="C24" s="334" t="s">
        <v>272</v>
      </c>
      <c r="D24" s="334" t="s">
        <v>273</v>
      </c>
      <c r="E24" s="334" t="s">
        <v>274</v>
      </c>
      <c r="F24" s="334" t="s">
        <v>275</v>
      </c>
      <c r="G24" s="334" t="s">
        <v>86</v>
      </c>
    </row>
    <row r="25" spans="1:7" s="654" customFormat="1" x14ac:dyDescent="0.2">
      <c r="A25" s="556">
        <v>1</v>
      </c>
      <c r="B25" s="467" t="s">
        <v>44</v>
      </c>
      <c r="C25" s="557">
        <v>13</v>
      </c>
      <c r="D25" s="557">
        <v>6</v>
      </c>
      <c r="E25" s="557"/>
      <c r="F25" s="557">
        <v>13</v>
      </c>
      <c r="G25" s="973" t="s">
        <v>146</v>
      </c>
    </row>
    <row r="26" spans="1:7" s="654" customFormat="1" x14ac:dyDescent="0.2">
      <c r="A26" s="556">
        <v>2</v>
      </c>
      <c r="B26" s="561" t="s">
        <v>51</v>
      </c>
      <c r="C26" s="557">
        <v>13</v>
      </c>
      <c r="D26" s="557">
        <v>13</v>
      </c>
      <c r="E26" s="557"/>
      <c r="F26" s="557"/>
      <c r="G26" s="486" t="s">
        <v>259</v>
      </c>
    </row>
    <row r="27" spans="1:7" s="654" customFormat="1" x14ac:dyDescent="0.2">
      <c r="A27" s="556">
        <v>3</v>
      </c>
      <c r="B27" s="561" t="s">
        <v>67</v>
      </c>
      <c r="C27" s="557">
        <v>4</v>
      </c>
      <c r="D27" s="557"/>
      <c r="E27" s="557">
        <v>13</v>
      </c>
      <c r="F27" s="557">
        <v>3</v>
      </c>
      <c r="G27" s="486" t="s">
        <v>260</v>
      </c>
    </row>
    <row r="28" spans="1:7" s="654" customFormat="1" x14ac:dyDescent="0.2">
      <c r="A28" s="556">
        <v>4</v>
      </c>
      <c r="B28" s="701"/>
      <c r="C28" s="557">
        <v>0</v>
      </c>
      <c r="D28" s="557"/>
      <c r="E28" s="557">
        <v>0</v>
      </c>
      <c r="F28" s="557"/>
      <c r="G28" s="702"/>
    </row>
    <row r="29" spans="1:7" s="704" customFormat="1" x14ac:dyDescent="0.2"/>
    <row r="30" spans="1:7" s="704" customFormat="1" x14ac:dyDescent="0.2">
      <c r="A30" s="563" t="s">
        <v>278</v>
      </c>
      <c r="B30" s="772"/>
      <c r="C30" s="472"/>
      <c r="D30" s="472"/>
      <c r="E30" s="472"/>
      <c r="F30" s="473"/>
      <c r="G30" s="763"/>
    </row>
    <row r="31" spans="1:7" s="704" customFormat="1" x14ac:dyDescent="0.2"/>
    <row r="32" spans="1:7" s="704" customFormat="1" x14ac:dyDescent="0.2">
      <c r="A32" s="565"/>
      <c r="B32" s="975" t="s">
        <v>147</v>
      </c>
      <c r="C32" s="879">
        <v>0</v>
      </c>
    </row>
    <row r="33" spans="1:13" s="704" customFormat="1" x14ac:dyDescent="0.2">
      <c r="A33" s="567"/>
      <c r="B33" s="568"/>
      <c r="C33" s="569" t="s">
        <v>48</v>
      </c>
      <c r="D33" s="705"/>
      <c r="F33" s="879">
        <v>5</v>
      </c>
    </row>
    <row r="34" spans="1:13" s="704" customFormat="1" x14ac:dyDescent="0.2">
      <c r="A34" s="567" t="s">
        <v>249</v>
      </c>
      <c r="B34" s="705" t="s">
        <v>48</v>
      </c>
      <c r="C34" s="571">
        <v>13</v>
      </c>
      <c r="E34" s="572"/>
    </row>
    <row r="35" spans="1:13" s="704" customFormat="1" x14ac:dyDescent="0.2">
      <c r="A35" s="567"/>
      <c r="D35" s="772"/>
      <c r="E35" s="573"/>
      <c r="F35" s="603" t="s">
        <v>44</v>
      </c>
      <c r="I35" s="879">
        <v>10</v>
      </c>
    </row>
    <row r="36" spans="1:13" s="704" customFormat="1" x14ac:dyDescent="0.2">
      <c r="A36" s="567" t="s">
        <v>247</v>
      </c>
      <c r="B36" s="975" t="s">
        <v>43</v>
      </c>
      <c r="C36" s="878">
        <v>12</v>
      </c>
      <c r="E36" s="573"/>
      <c r="F36" s="576"/>
      <c r="G36" s="568"/>
      <c r="H36" s="572"/>
    </row>
    <row r="37" spans="1:13" s="704" customFormat="1" x14ac:dyDescent="0.2">
      <c r="A37" s="567"/>
      <c r="B37" s="568"/>
      <c r="C37" s="603" t="s">
        <v>44</v>
      </c>
      <c r="E37" s="577"/>
      <c r="F37" s="878">
        <v>13</v>
      </c>
      <c r="G37" s="772"/>
      <c r="H37" s="573"/>
    </row>
    <row r="38" spans="1:13" s="704" customFormat="1" x14ac:dyDescent="0.2">
      <c r="A38" s="567" t="s">
        <v>248</v>
      </c>
      <c r="B38" s="705" t="s">
        <v>44</v>
      </c>
      <c r="C38" s="578">
        <v>13</v>
      </c>
      <c r="D38" s="568"/>
      <c r="F38" s="772"/>
      <c r="G38" s="772"/>
      <c r="H38" s="573"/>
    </row>
    <row r="39" spans="1:13" s="704" customFormat="1" x14ac:dyDescent="0.2">
      <c r="A39" s="579"/>
      <c r="F39" s="772"/>
      <c r="G39" s="772"/>
      <c r="H39" s="573"/>
      <c r="I39" s="603" t="s">
        <v>81</v>
      </c>
      <c r="K39" s="879">
        <v>8</v>
      </c>
    </row>
    <row r="40" spans="1:13" s="704" customFormat="1" x14ac:dyDescent="0.2">
      <c r="A40" s="565" t="s">
        <v>374</v>
      </c>
      <c r="B40" s="704" t="s">
        <v>81</v>
      </c>
      <c r="C40" s="879">
        <v>13</v>
      </c>
      <c r="F40" s="772"/>
      <c r="G40" s="772"/>
      <c r="H40" s="573"/>
      <c r="I40" s="568"/>
      <c r="J40" s="572"/>
    </row>
    <row r="41" spans="1:13" s="704" customFormat="1" x14ac:dyDescent="0.2">
      <c r="A41" s="567"/>
      <c r="B41" s="568"/>
      <c r="C41" s="569" t="s">
        <v>81</v>
      </c>
      <c r="D41" s="705"/>
      <c r="F41" s="878">
        <v>13</v>
      </c>
      <c r="G41" s="772"/>
      <c r="H41" s="573"/>
      <c r="I41" s="772"/>
      <c r="J41" s="573"/>
    </row>
    <row r="42" spans="1:13" s="704" customFormat="1" x14ac:dyDescent="0.2">
      <c r="A42" s="567" t="s">
        <v>373</v>
      </c>
      <c r="B42" s="705" t="s">
        <v>58</v>
      </c>
      <c r="C42" s="571">
        <v>11</v>
      </c>
      <c r="E42" s="572"/>
      <c r="F42" s="772"/>
      <c r="G42" s="772"/>
      <c r="H42" s="573"/>
      <c r="I42" s="772"/>
      <c r="J42" s="573"/>
    </row>
    <row r="43" spans="1:13" s="704" customFormat="1" x14ac:dyDescent="0.2">
      <c r="A43" s="567"/>
      <c r="D43" s="772"/>
      <c r="E43" s="573"/>
      <c r="F43" s="705" t="s">
        <v>81</v>
      </c>
      <c r="G43" s="705"/>
      <c r="H43" s="577"/>
      <c r="I43" s="878">
        <v>13</v>
      </c>
      <c r="J43" s="573"/>
    </row>
    <row r="44" spans="1:13" s="704" customFormat="1" x14ac:dyDescent="0.2">
      <c r="A44" s="567"/>
      <c r="B44" s="975" t="s">
        <v>147</v>
      </c>
      <c r="C44" s="878">
        <v>0</v>
      </c>
      <c r="E44" s="573"/>
      <c r="F44" s="603"/>
      <c r="G44" s="772"/>
      <c r="H44" s="772"/>
      <c r="I44" s="772"/>
      <c r="J44" s="573"/>
    </row>
    <row r="45" spans="1:13" s="704" customFormat="1" x14ac:dyDescent="0.2">
      <c r="A45" s="567"/>
      <c r="B45" s="568"/>
      <c r="C45" s="603" t="s">
        <v>54</v>
      </c>
      <c r="E45" s="577"/>
      <c r="F45" s="878">
        <v>9</v>
      </c>
      <c r="I45" s="772"/>
      <c r="J45" s="573"/>
    </row>
    <row r="46" spans="1:13" s="704" customFormat="1" x14ac:dyDescent="0.2">
      <c r="A46" s="567" t="s">
        <v>246</v>
      </c>
      <c r="B46" s="705" t="s">
        <v>54</v>
      </c>
      <c r="C46" s="578">
        <v>13</v>
      </c>
      <c r="D46" s="568"/>
      <c r="F46" s="772"/>
      <c r="G46" s="772"/>
      <c r="H46" s="772"/>
      <c r="I46" s="772"/>
      <c r="J46" s="573"/>
    </row>
    <row r="47" spans="1:13" s="704" customFormat="1" ht="13.5" thickBot="1" x14ac:dyDescent="0.25">
      <c r="I47" s="772"/>
      <c r="J47" s="573"/>
      <c r="L47" s="704" t="s">
        <v>51</v>
      </c>
    </row>
    <row r="48" spans="1:13" s="704" customFormat="1" x14ac:dyDescent="0.2">
      <c r="A48" s="565"/>
      <c r="B48" s="975" t="s">
        <v>147</v>
      </c>
      <c r="C48" s="879">
        <v>0</v>
      </c>
      <c r="I48" s="772"/>
      <c r="J48" s="573"/>
      <c r="K48" s="580"/>
      <c r="L48" s="581" t="s">
        <v>148</v>
      </c>
      <c r="M48" s="582"/>
    </row>
    <row r="49" spans="1:13" s="704" customFormat="1" x14ac:dyDescent="0.2">
      <c r="A49" s="567"/>
      <c r="B49" s="568"/>
      <c r="C49" s="569" t="s">
        <v>45</v>
      </c>
      <c r="D49" s="705"/>
      <c r="F49" s="879">
        <v>12</v>
      </c>
      <c r="I49" s="772"/>
      <c r="J49" s="573"/>
    </row>
    <row r="50" spans="1:13" s="704" customFormat="1" x14ac:dyDescent="0.2">
      <c r="A50" s="567" t="s">
        <v>375</v>
      </c>
      <c r="B50" s="705" t="s">
        <v>45</v>
      </c>
      <c r="C50" s="571">
        <v>13</v>
      </c>
      <c r="E50" s="572"/>
      <c r="I50" s="772"/>
      <c r="J50" s="573"/>
    </row>
    <row r="51" spans="1:13" s="704" customFormat="1" x14ac:dyDescent="0.2">
      <c r="A51" s="567"/>
      <c r="D51" s="772"/>
      <c r="E51" s="573"/>
      <c r="F51" s="704" t="s">
        <v>51</v>
      </c>
      <c r="I51" s="878">
        <v>13</v>
      </c>
      <c r="J51" s="573"/>
    </row>
    <row r="52" spans="1:13" s="704" customFormat="1" x14ac:dyDescent="0.2">
      <c r="A52" s="567" t="s">
        <v>248</v>
      </c>
      <c r="B52" s="704" t="s">
        <v>51</v>
      </c>
      <c r="C52" s="878">
        <v>13</v>
      </c>
      <c r="E52" s="573"/>
      <c r="F52" s="576"/>
      <c r="G52" s="568"/>
      <c r="H52" s="572"/>
      <c r="I52" s="772"/>
      <c r="J52" s="573"/>
    </row>
    <row r="53" spans="1:13" s="704" customFormat="1" x14ac:dyDescent="0.2">
      <c r="A53" s="567"/>
      <c r="B53" s="568"/>
      <c r="C53" s="603" t="s">
        <v>51</v>
      </c>
      <c r="E53" s="577"/>
      <c r="F53" s="878">
        <v>13</v>
      </c>
      <c r="G53" s="772"/>
      <c r="H53" s="573"/>
      <c r="I53" s="772"/>
      <c r="J53" s="573"/>
    </row>
    <row r="54" spans="1:13" s="704" customFormat="1" x14ac:dyDescent="0.2">
      <c r="A54" s="567" t="s">
        <v>254</v>
      </c>
      <c r="B54" s="705" t="s">
        <v>57</v>
      </c>
      <c r="C54" s="578">
        <v>5</v>
      </c>
      <c r="D54" s="568"/>
      <c r="F54" s="772"/>
      <c r="G54" s="772"/>
      <c r="H54" s="573"/>
      <c r="I54" s="772"/>
      <c r="J54" s="573"/>
    </row>
    <row r="55" spans="1:13" s="704" customFormat="1" x14ac:dyDescent="0.2">
      <c r="F55" s="772"/>
      <c r="G55" s="772"/>
      <c r="H55" s="573"/>
      <c r="I55" s="705" t="s">
        <v>51</v>
      </c>
      <c r="J55" s="577"/>
      <c r="K55" s="879">
        <v>13</v>
      </c>
    </row>
    <row r="56" spans="1:13" s="704" customFormat="1" ht="13.5" thickBot="1" x14ac:dyDescent="0.25">
      <c r="A56" s="565" t="s">
        <v>252</v>
      </c>
      <c r="B56" s="704" t="s">
        <v>46</v>
      </c>
      <c r="C56" s="879">
        <v>8</v>
      </c>
      <c r="F56" s="772"/>
      <c r="G56" s="772"/>
      <c r="H56" s="573"/>
      <c r="L56" s="772" t="s">
        <v>81</v>
      </c>
      <c r="M56" s="773"/>
    </row>
    <row r="57" spans="1:13" s="704" customFormat="1" x14ac:dyDescent="0.2">
      <c r="A57" s="567"/>
      <c r="B57" s="568"/>
      <c r="C57" s="569" t="s">
        <v>64</v>
      </c>
      <c r="D57" s="705"/>
      <c r="F57" s="878">
        <v>10</v>
      </c>
      <c r="G57" s="772"/>
      <c r="H57" s="573"/>
      <c r="L57" s="581" t="s">
        <v>149</v>
      </c>
      <c r="M57" s="772"/>
    </row>
    <row r="58" spans="1:13" s="704" customFormat="1" x14ac:dyDescent="0.2">
      <c r="A58" s="567" t="s">
        <v>251</v>
      </c>
      <c r="B58" s="705" t="s">
        <v>64</v>
      </c>
      <c r="C58" s="571">
        <v>13</v>
      </c>
      <c r="E58" s="572"/>
      <c r="F58" s="772"/>
      <c r="G58" s="772"/>
      <c r="H58" s="573"/>
    </row>
    <row r="59" spans="1:13" s="704" customFormat="1" x14ac:dyDescent="0.2">
      <c r="A59" s="567"/>
      <c r="D59" s="772"/>
      <c r="E59" s="573"/>
      <c r="F59" s="705" t="s">
        <v>49</v>
      </c>
      <c r="G59" s="705"/>
      <c r="H59" s="577"/>
      <c r="I59" s="879">
        <v>4</v>
      </c>
    </row>
    <row r="60" spans="1:13" s="704" customFormat="1" x14ac:dyDescent="0.2">
      <c r="A60" s="567"/>
      <c r="B60" s="975" t="s">
        <v>147</v>
      </c>
      <c r="C60" s="878">
        <v>0</v>
      </c>
      <c r="E60" s="573"/>
      <c r="F60" s="603"/>
      <c r="G60" s="772"/>
      <c r="H60" s="772"/>
    </row>
    <row r="61" spans="1:13" s="704" customFormat="1" x14ac:dyDescent="0.2">
      <c r="A61" s="567"/>
      <c r="B61" s="568"/>
      <c r="C61" s="603" t="s">
        <v>49</v>
      </c>
      <c r="E61" s="577"/>
      <c r="F61" s="878">
        <v>13</v>
      </c>
      <c r="I61" s="704" t="s">
        <v>44</v>
      </c>
      <c r="K61" s="878">
        <v>13</v>
      </c>
    </row>
    <row r="62" spans="1:13" s="704" customFormat="1" ht="13.5" thickBot="1" x14ac:dyDescent="0.25">
      <c r="A62" s="567" t="s">
        <v>376</v>
      </c>
      <c r="B62" s="705" t="s">
        <v>49</v>
      </c>
      <c r="C62" s="578">
        <v>13</v>
      </c>
      <c r="D62" s="568"/>
      <c r="F62" s="772"/>
      <c r="G62" s="772"/>
      <c r="H62" s="772"/>
      <c r="I62" s="568"/>
      <c r="J62" s="572"/>
      <c r="K62" s="773"/>
      <c r="L62" s="773" t="s">
        <v>44</v>
      </c>
      <c r="M62" s="773"/>
    </row>
    <row r="63" spans="1:13" s="704" customFormat="1" x14ac:dyDescent="0.2">
      <c r="H63" s="772"/>
      <c r="I63" s="705" t="s">
        <v>49</v>
      </c>
      <c r="J63" s="577"/>
      <c r="K63" s="879">
        <v>11</v>
      </c>
      <c r="L63" s="584" t="s">
        <v>150</v>
      </c>
      <c r="M63" s="772"/>
    </row>
    <row r="64" spans="1:13" s="704" customFormat="1" x14ac:dyDescent="0.2">
      <c r="H64" s="772"/>
      <c r="L64" s="772"/>
      <c r="M64" s="772"/>
    </row>
    <row r="65" spans="1:13" s="704" customFormat="1" ht="13.5" thickBot="1" x14ac:dyDescent="0.25">
      <c r="H65" s="772"/>
      <c r="I65" s="772"/>
      <c r="J65" s="772"/>
      <c r="L65" s="773" t="s">
        <v>49</v>
      </c>
      <c r="M65" s="773"/>
    </row>
    <row r="66" spans="1:13" s="704" customFormat="1" x14ac:dyDescent="0.2">
      <c r="I66" s="772"/>
      <c r="J66" s="772"/>
      <c r="L66" s="579" t="s">
        <v>151</v>
      </c>
    </row>
    <row r="67" spans="1:13" s="704" customFormat="1" x14ac:dyDescent="0.2">
      <c r="I67" s="772"/>
      <c r="J67" s="772"/>
      <c r="L67" s="579"/>
    </row>
    <row r="68" spans="1:13" s="704" customFormat="1" x14ac:dyDescent="0.2">
      <c r="A68" s="585" t="s">
        <v>279</v>
      </c>
      <c r="I68" s="772"/>
      <c r="J68" s="772"/>
      <c r="L68" s="579"/>
    </row>
    <row r="69" spans="1:13" s="704" customFormat="1" x14ac:dyDescent="0.2">
      <c r="A69" s="585"/>
      <c r="I69" s="772"/>
      <c r="J69" s="772"/>
      <c r="L69" s="579"/>
    </row>
    <row r="70" spans="1:13" s="704" customFormat="1" x14ac:dyDescent="0.2">
      <c r="F70" s="586" t="s">
        <v>48</v>
      </c>
      <c r="G70" s="879"/>
      <c r="H70" s="879"/>
      <c r="I70" s="879">
        <v>13</v>
      </c>
      <c r="J70" s="879"/>
      <c r="K70" s="879"/>
    </row>
    <row r="71" spans="1:13" s="704" customFormat="1" x14ac:dyDescent="0.2">
      <c r="F71" s="740"/>
      <c r="G71" s="740"/>
      <c r="H71" s="588"/>
      <c r="I71" s="737" t="s">
        <v>48</v>
      </c>
      <c r="J71" s="879"/>
      <c r="K71" s="879">
        <v>13</v>
      </c>
    </row>
    <row r="72" spans="1:13" s="704" customFormat="1" x14ac:dyDescent="0.2">
      <c r="F72" s="737" t="s">
        <v>54</v>
      </c>
      <c r="G72" s="737"/>
      <c r="H72" s="590"/>
      <c r="I72" s="977" t="s">
        <v>147</v>
      </c>
      <c r="J72" s="588"/>
      <c r="K72" s="879"/>
    </row>
    <row r="73" spans="1:13" s="704" customFormat="1" ht="13.5" thickBot="1" x14ac:dyDescent="0.25">
      <c r="F73" s="879"/>
      <c r="G73" s="879"/>
      <c r="H73" s="879"/>
      <c r="I73" s="878"/>
      <c r="J73" s="591"/>
      <c r="K73" s="879"/>
      <c r="L73" s="704" t="s">
        <v>48</v>
      </c>
    </row>
    <row r="74" spans="1:13" s="704" customFormat="1" x14ac:dyDescent="0.2">
      <c r="F74" s="879" t="s">
        <v>45</v>
      </c>
      <c r="G74" s="879"/>
      <c r="H74" s="879"/>
      <c r="I74" s="879">
        <v>13</v>
      </c>
      <c r="J74" s="591"/>
      <c r="K74" s="592"/>
      <c r="L74" s="581" t="s">
        <v>152</v>
      </c>
      <c r="M74" s="582"/>
    </row>
    <row r="75" spans="1:13" s="704" customFormat="1" x14ac:dyDescent="0.2">
      <c r="F75" s="740"/>
      <c r="G75" s="740"/>
      <c r="H75" s="588"/>
      <c r="I75" s="879" t="s">
        <v>45</v>
      </c>
      <c r="J75" s="590"/>
      <c r="K75" s="878">
        <v>7</v>
      </c>
    </row>
    <row r="76" spans="1:13" s="704" customFormat="1" ht="13.5" thickBot="1" x14ac:dyDescent="0.25">
      <c r="F76" s="737" t="s">
        <v>64</v>
      </c>
      <c r="G76" s="737"/>
      <c r="H76" s="590"/>
      <c r="I76" s="740">
        <v>3</v>
      </c>
      <c r="J76" s="879"/>
      <c r="K76" s="878"/>
      <c r="L76" s="772" t="s">
        <v>45</v>
      </c>
      <c r="M76" s="773"/>
    </row>
    <row r="77" spans="1:13" s="704" customFormat="1" x14ac:dyDescent="0.2">
      <c r="F77" s="879"/>
      <c r="G77" s="879"/>
      <c r="H77" s="879"/>
      <c r="I77" s="879"/>
      <c r="J77" s="879"/>
      <c r="K77" s="878"/>
      <c r="L77" s="581" t="s">
        <v>153</v>
      </c>
      <c r="M77" s="772"/>
    </row>
    <row r="78" spans="1:13" s="704" customFormat="1" x14ac:dyDescent="0.2">
      <c r="F78" s="879"/>
      <c r="G78" s="879"/>
      <c r="H78" s="878"/>
      <c r="I78" s="879" t="s">
        <v>54</v>
      </c>
      <c r="J78" s="879"/>
      <c r="K78" s="976" t="s">
        <v>147</v>
      </c>
      <c r="L78" s="772"/>
      <c r="M78" s="772"/>
    </row>
    <row r="79" spans="1:13" s="704" customFormat="1" ht="13.5" thickBot="1" x14ac:dyDescent="0.25">
      <c r="F79" s="879"/>
      <c r="G79" s="879"/>
      <c r="H79" s="878"/>
      <c r="I79" s="740"/>
      <c r="J79" s="588"/>
      <c r="K79" s="593"/>
      <c r="L79" s="773" t="s">
        <v>64</v>
      </c>
      <c r="M79" s="773"/>
    </row>
    <row r="80" spans="1:13" s="704" customFormat="1" x14ac:dyDescent="0.2">
      <c r="F80" s="879"/>
      <c r="G80" s="879"/>
      <c r="H80" s="878"/>
      <c r="I80" s="737" t="s">
        <v>64</v>
      </c>
      <c r="J80" s="590"/>
      <c r="K80" s="879">
        <v>13</v>
      </c>
      <c r="L80" s="584" t="s">
        <v>154</v>
      </c>
      <c r="M80" s="772"/>
    </row>
    <row r="81" spans="1:13" s="704" customFormat="1" x14ac:dyDescent="0.2">
      <c r="H81" s="772"/>
      <c r="L81" s="772"/>
      <c r="M81" s="772"/>
    </row>
    <row r="82" spans="1:13" s="704" customFormat="1" ht="13.5" thickBot="1" x14ac:dyDescent="0.25">
      <c r="F82" s="579"/>
      <c r="I82" s="772"/>
      <c r="J82" s="772"/>
      <c r="L82" s="773" t="s">
        <v>54</v>
      </c>
      <c r="M82" s="773"/>
    </row>
    <row r="83" spans="1:13" s="704" customFormat="1" x14ac:dyDescent="0.2">
      <c r="F83" s="579"/>
      <c r="I83" s="772"/>
      <c r="J83" s="772"/>
      <c r="L83" s="584" t="s">
        <v>155</v>
      </c>
    </row>
    <row r="84" spans="1:13" s="704" customFormat="1" x14ac:dyDescent="0.2">
      <c r="F84" s="579"/>
      <c r="I84" s="772"/>
      <c r="J84" s="772"/>
      <c r="L84" s="584"/>
    </row>
    <row r="85" spans="1:13" s="704" customFormat="1" x14ac:dyDescent="0.2">
      <c r="A85" s="594" t="s">
        <v>250</v>
      </c>
    </row>
    <row r="86" spans="1:13" s="704" customFormat="1" x14ac:dyDescent="0.2">
      <c r="A86" s="595"/>
      <c r="C86" s="772"/>
      <c r="D86" s="772"/>
      <c r="E86" s="772"/>
    </row>
    <row r="87" spans="1:13" s="704" customFormat="1" x14ac:dyDescent="0.2">
      <c r="B87" s="772"/>
      <c r="C87" s="772"/>
      <c r="D87" s="772"/>
      <c r="E87" s="772"/>
      <c r="F87" s="586" t="s">
        <v>43</v>
      </c>
      <c r="G87" s="879"/>
      <c r="H87" s="879"/>
      <c r="I87" s="879">
        <v>13</v>
      </c>
      <c r="J87" s="879"/>
      <c r="K87" s="879"/>
    </row>
    <row r="88" spans="1:13" s="704" customFormat="1" x14ac:dyDescent="0.2">
      <c r="B88" s="772"/>
      <c r="C88" s="772"/>
      <c r="D88" s="772"/>
      <c r="E88" s="772"/>
      <c r="F88" s="740"/>
      <c r="G88" s="740"/>
      <c r="H88" s="588"/>
      <c r="I88" s="737" t="s">
        <v>43</v>
      </c>
      <c r="J88" s="879"/>
      <c r="K88" s="879">
        <v>13</v>
      </c>
    </row>
    <row r="89" spans="1:13" s="704" customFormat="1" x14ac:dyDescent="0.2">
      <c r="B89" s="772"/>
      <c r="C89" s="772"/>
      <c r="D89" s="772"/>
      <c r="E89" s="772"/>
      <c r="F89" s="737" t="s">
        <v>58</v>
      </c>
      <c r="G89" s="737"/>
      <c r="H89" s="590"/>
      <c r="I89" s="879">
        <v>6</v>
      </c>
      <c r="J89" s="588"/>
      <c r="K89" s="879"/>
    </row>
    <row r="90" spans="1:13" s="704" customFormat="1" ht="13.5" thickBot="1" x14ac:dyDescent="0.25">
      <c r="B90" s="772"/>
      <c r="C90" s="772"/>
      <c r="D90" s="772"/>
      <c r="E90" s="772"/>
      <c r="F90" s="879"/>
      <c r="G90" s="879"/>
      <c r="H90" s="879"/>
      <c r="I90" s="878"/>
      <c r="J90" s="591"/>
      <c r="K90" s="879"/>
      <c r="L90" s="975" t="s">
        <v>43</v>
      </c>
    </row>
    <row r="91" spans="1:13" s="704" customFormat="1" x14ac:dyDescent="0.2">
      <c r="B91" s="772"/>
      <c r="C91" s="772"/>
      <c r="D91" s="772"/>
      <c r="E91" s="772"/>
      <c r="F91" s="879" t="s">
        <v>57</v>
      </c>
      <c r="G91" s="879"/>
      <c r="H91" s="879"/>
      <c r="I91" s="879">
        <v>5</v>
      </c>
      <c r="J91" s="591"/>
      <c r="K91" s="592"/>
      <c r="L91" s="581" t="s">
        <v>156</v>
      </c>
      <c r="M91" s="582"/>
    </row>
    <row r="92" spans="1:13" s="704" customFormat="1" x14ac:dyDescent="0.2">
      <c r="B92" s="772"/>
      <c r="C92" s="772"/>
      <c r="D92" s="772"/>
      <c r="E92" s="772"/>
      <c r="F92" s="740"/>
      <c r="G92" s="740"/>
      <c r="H92" s="588"/>
      <c r="I92" s="879" t="s">
        <v>46</v>
      </c>
      <c r="J92" s="590"/>
      <c r="K92" s="976" t="s">
        <v>572</v>
      </c>
    </row>
    <row r="93" spans="1:13" s="704" customFormat="1" ht="13.5" thickBot="1" x14ac:dyDescent="0.25">
      <c r="B93" s="772"/>
      <c r="C93" s="772"/>
      <c r="D93" s="772"/>
      <c r="E93" s="772"/>
      <c r="F93" s="737" t="s">
        <v>46</v>
      </c>
      <c r="G93" s="737"/>
      <c r="H93" s="590"/>
      <c r="I93" s="740">
        <v>13</v>
      </c>
      <c r="J93" s="879"/>
      <c r="K93" s="878"/>
      <c r="L93" s="772" t="s">
        <v>46</v>
      </c>
      <c r="M93" s="773"/>
    </row>
    <row r="94" spans="1:13" s="704" customFormat="1" x14ac:dyDescent="0.2">
      <c r="B94" s="772"/>
      <c r="C94" s="878"/>
      <c r="D94" s="772"/>
      <c r="E94" s="772"/>
      <c r="F94" s="879"/>
      <c r="G94" s="879"/>
      <c r="H94" s="879"/>
      <c r="I94" s="879"/>
      <c r="J94" s="879"/>
      <c r="K94" s="878"/>
      <c r="L94" s="581" t="s">
        <v>157</v>
      </c>
      <c r="M94" s="772"/>
    </row>
    <row r="95" spans="1:13" s="704" customFormat="1" x14ac:dyDescent="0.2">
      <c r="B95" s="772"/>
      <c r="C95" s="772"/>
      <c r="D95" s="772"/>
      <c r="E95" s="772"/>
      <c r="F95" s="879"/>
      <c r="G95" s="879"/>
      <c r="H95" s="878"/>
      <c r="I95" s="879" t="s">
        <v>58</v>
      </c>
      <c r="J95" s="879"/>
      <c r="K95" s="878">
        <v>13</v>
      </c>
      <c r="L95" s="772"/>
      <c r="M95" s="772"/>
    </row>
    <row r="96" spans="1:13" s="704" customFormat="1" ht="13.5" thickBot="1" x14ac:dyDescent="0.25">
      <c r="B96" s="772"/>
      <c r="C96" s="772"/>
      <c r="D96" s="772"/>
      <c r="E96" s="772"/>
      <c r="F96" s="879"/>
      <c r="G96" s="879"/>
      <c r="H96" s="878"/>
      <c r="I96" s="740"/>
      <c r="J96" s="588"/>
      <c r="K96" s="593"/>
      <c r="L96" s="773" t="s">
        <v>58</v>
      </c>
      <c r="M96" s="773"/>
    </row>
    <row r="97" spans="1:13" s="704" customFormat="1" x14ac:dyDescent="0.2">
      <c r="B97" s="772"/>
      <c r="C97" s="772"/>
      <c r="D97" s="772"/>
      <c r="E97" s="772"/>
      <c r="F97" s="879"/>
      <c r="G97" s="879"/>
      <c r="H97" s="878"/>
      <c r="I97" s="737" t="s">
        <v>57</v>
      </c>
      <c r="J97" s="590"/>
      <c r="K97" s="977" t="s">
        <v>572</v>
      </c>
      <c r="L97" s="584" t="s">
        <v>158</v>
      </c>
      <c r="M97" s="772"/>
    </row>
    <row r="98" spans="1:13" s="704" customFormat="1" x14ac:dyDescent="0.2">
      <c r="B98" s="772"/>
      <c r="C98" s="772"/>
      <c r="D98" s="772"/>
      <c r="E98" s="772"/>
      <c r="H98" s="772"/>
      <c r="L98" s="772"/>
      <c r="M98" s="772"/>
    </row>
    <row r="99" spans="1:13" s="704" customFormat="1" ht="13.5" thickBot="1" x14ac:dyDescent="0.25">
      <c r="B99" s="772"/>
      <c r="C99" s="772"/>
      <c r="D99" s="772"/>
      <c r="E99" s="772"/>
      <c r="F99" s="579"/>
      <c r="I99" s="772"/>
      <c r="J99" s="772"/>
      <c r="L99" s="773" t="s">
        <v>57</v>
      </c>
      <c r="M99" s="773"/>
    </row>
    <row r="100" spans="1:13" s="704" customFormat="1" x14ac:dyDescent="0.2">
      <c r="B100" s="772"/>
      <c r="C100" s="772"/>
      <c r="D100" s="772"/>
      <c r="E100" s="772"/>
      <c r="F100" s="579"/>
      <c r="I100" s="772"/>
      <c r="J100" s="772"/>
      <c r="L100" s="584" t="s">
        <v>159</v>
      </c>
    </row>
    <row r="101" spans="1:13" s="704" customFormat="1" x14ac:dyDescent="0.2"/>
    <row r="102" spans="1:13" s="704" customFormat="1" x14ac:dyDescent="0.2">
      <c r="A102" s="585" t="s">
        <v>574</v>
      </c>
    </row>
    <row r="103" spans="1:13" s="704" customFormat="1" x14ac:dyDescent="0.2">
      <c r="A103" s="585"/>
    </row>
    <row r="104" spans="1:13" s="31" customFormat="1" x14ac:dyDescent="0.2">
      <c r="A104" s="342"/>
      <c r="B104" s="342"/>
      <c r="C104" s="31" t="s">
        <v>147</v>
      </c>
      <c r="F104" s="343">
        <v>0</v>
      </c>
    </row>
    <row r="105" spans="1:13" s="31" customFormat="1" x14ac:dyDescent="0.2">
      <c r="A105" s="344"/>
      <c r="B105" s="342"/>
      <c r="C105" s="345"/>
      <c r="D105" s="345"/>
      <c r="E105" s="350"/>
      <c r="F105" s="346" t="s">
        <v>67</v>
      </c>
      <c r="G105" s="347"/>
      <c r="I105" s="343">
        <v>7</v>
      </c>
    </row>
    <row r="106" spans="1:13" s="31" customFormat="1" x14ac:dyDescent="0.2">
      <c r="A106" s="342"/>
      <c r="B106" s="342" t="s">
        <v>268</v>
      </c>
      <c r="C106" s="347" t="s">
        <v>67</v>
      </c>
      <c r="D106" s="347"/>
      <c r="E106" s="348"/>
      <c r="F106" s="349">
        <v>13</v>
      </c>
      <c r="H106" s="350"/>
    </row>
    <row r="107" spans="1:13" s="31" customFormat="1" x14ac:dyDescent="0.2">
      <c r="A107" s="344"/>
      <c r="B107" s="342"/>
      <c r="G107" s="351"/>
      <c r="H107" s="352"/>
      <c r="I107" s="31" t="s">
        <v>47</v>
      </c>
      <c r="K107" s="343">
        <v>13</v>
      </c>
    </row>
    <row r="108" spans="1:13" s="31" customFormat="1" x14ac:dyDescent="0.2">
      <c r="A108" s="342"/>
      <c r="B108" s="342" t="s">
        <v>264</v>
      </c>
      <c r="C108" s="31" t="s">
        <v>47</v>
      </c>
      <c r="E108" s="598"/>
      <c r="F108" s="354">
        <v>13</v>
      </c>
      <c r="H108" s="352"/>
      <c r="I108" s="345"/>
      <c r="J108" s="350"/>
    </row>
    <row r="109" spans="1:13" s="31" customFormat="1" x14ac:dyDescent="0.2">
      <c r="A109" s="344"/>
      <c r="B109" s="342"/>
      <c r="C109" s="345"/>
      <c r="D109" s="345"/>
      <c r="E109" s="350"/>
      <c r="F109" s="355" t="s">
        <v>47</v>
      </c>
      <c r="H109" s="356"/>
      <c r="I109" s="354">
        <v>13</v>
      </c>
      <c r="J109" s="352"/>
    </row>
    <row r="110" spans="1:13" s="31" customFormat="1" x14ac:dyDescent="0.2">
      <c r="A110" s="342"/>
      <c r="B110" s="342" t="s">
        <v>379</v>
      </c>
      <c r="C110" s="347" t="s">
        <v>68</v>
      </c>
      <c r="D110" s="347"/>
      <c r="E110" s="348"/>
      <c r="F110" s="357" t="s">
        <v>572</v>
      </c>
      <c r="G110" s="345"/>
      <c r="I110" s="351"/>
      <c r="J110" s="352"/>
    </row>
    <row r="111" spans="1:13" s="31" customFormat="1" ht="13.5" thickBot="1" x14ac:dyDescent="0.25">
      <c r="A111" s="344"/>
      <c r="B111" s="342"/>
      <c r="I111" s="351"/>
      <c r="J111" s="352"/>
      <c r="L111" s="31" t="s">
        <v>47</v>
      </c>
    </row>
    <row r="112" spans="1:13" s="31" customFormat="1" x14ac:dyDescent="0.2">
      <c r="A112" s="342"/>
      <c r="B112" s="342" t="s">
        <v>255</v>
      </c>
      <c r="C112" s="31" t="s">
        <v>571</v>
      </c>
      <c r="F112" s="343">
        <v>13</v>
      </c>
      <c r="I112" s="351"/>
      <c r="J112" s="352"/>
      <c r="K112" s="358"/>
      <c r="L112" s="359" t="s">
        <v>160</v>
      </c>
      <c r="M112" s="360"/>
    </row>
    <row r="113" spans="1:13" s="31" customFormat="1" x14ac:dyDescent="0.2">
      <c r="A113" s="344"/>
      <c r="B113" s="342"/>
      <c r="C113" s="345"/>
      <c r="D113" s="345"/>
      <c r="E113" s="350"/>
      <c r="F113" s="346" t="s">
        <v>571</v>
      </c>
      <c r="G113" s="347"/>
      <c r="I113" s="354">
        <v>1</v>
      </c>
      <c r="J113" s="352"/>
    </row>
    <row r="114" spans="1:13" s="31" customFormat="1" ht="13.5" thickBot="1" x14ac:dyDescent="0.25">
      <c r="A114" s="342"/>
      <c r="B114" s="342" t="s">
        <v>380</v>
      </c>
      <c r="C114" s="347" t="s">
        <v>573</v>
      </c>
      <c r="D114" s="347"/>
      <c r="E114" s="356"/>
      <c r="F114" s="349">
        <v>8</v>
      </c>
      <c r="H114" s="350"/>
      <c r="I114" s="351"/>
      <c r="J114" s="352"/>
      <c r="L114" s="361" t="s">
        <v>339</v>
      </c>
      <c r="M114" s="361"/>
    </row>
    <row r="115" spans="1:13" s="31" customFormat="1" x14ac:dyDescent="0.2">
      <c r="A115" s="344"/>
      <c r="B115" s="342"/>
      <c r="G115" s="351"/>
      <c r="H115" s="352"/>
      <c r="I115" s="347" t="s">
        <v>339</v>
      </c>
      <c r="J115" s="356"/>
      <c r="K115" s="343" t="s">
        <v>572</v>
      </c>
      <c r="L115" s="359" t="s">
        <v>161</v>
      </c>
    </row>
    <row r="116" spans="1:13" s="31" customFormat="1" x14ac:dyDescent="0.2">
      <c r="A116" s="342"/>
      <c r="B116" s="342"/>
      <c r="C116" s="31" t="s">
        <v>147</v>
      </c>
      <c r="F116" s="354">
        <v>0</v>
      </c>
      <c r="H116" s="352"/>
    </row>
    <row r="117" spans="1:13" s="31" customFormat="1" x14ac:dyDescent="0.2">
      <c r="A117" s="344"/>
      <c r="B117" s="342"/>
      <c r="C117" s="345"/>
      <c r="D117" s="345"/>
      <c r="E117" s="350"/>
      <c r="F117" s="355" t="s">
        <v>339</v>
      </c>
      <c r="H117" s="356"/>
      <c r="I117" s="343">
        <v>13</v>
      </c>
    </row>
    <row r="118" spans="1:13" s="31" customFormat="1" x14ac:dyDescent="0.2">
      <c r="A118" s="342"/>
      <c r="B118" s="342" t="s">
        <v>267</v>
      </c>
      <c r="C118" s="347" t="s">
        <v>339</v>
      </c>
      <c r="D118" s="347"/>
      <c r="E118" s="356"/>
      <c r="F118" s="357">
        <v>13</v>
      </c>
      <c r="G118" s="345"/>
    </row>
    <row r="119" spans="1:13" s="31" customFormat="1" x14ac:dyDescent="0.2">
      <c r="I119" s="31" t="s">
        <v>67</v>
      </c>
      <c r="K119" s="354">
        <v>7</v>
      </c>
      <c r="L119" s="351"/>
      <c r="M119" s="351"/>
    </row>
    <row r="120" spans="1:13" s="31" customFormat="1" ht="13.5" thickBot="1" x14ac:dyDescent="0.25">
      <c r="I120" s="345"/>
      <c r="J120" s="350"/>
      <c r="K120" s="361"/>
      <c r="L120" s="361" t="s">
        <v>571</v>
      </c>
      <c r="M120" s="361"/>
    </row>
    <row r="121" spans="1:13" s="31" customFormat="1" x14ac:dyDescent="0.2">
      <c r="I121" s="347" t="s">
        <v>571</v>
      </c>
      <c r="J121" s="356"/>
      <c r="K121" s="343">
        <v>13</v>
      </c>
      <c r="L121" s="362" t="s">
        <v>162</v>
      </c>
      <c r="M121" s="351"/>
    </row>
    <row r="122" spans="1:13" s="31" customFormat="1" x14ac:dyDescent="0.2">
      <c r="L122" s="351"/>
      <c r="M122" s="351"/>
    </row>
    <row r="123" spans="1:13" s="31" customFormat="1" ht="13.5" thickBot="1" x14ac:dyDescent="0.25">
      <c r="J123" s="351"/>
      <c r="L123" s="361" t="s">
        <v>67</v>
      </c>
      <c r="M123" s="361"/>
    </row>
    <row r="124" spans="1:13" s="31" customFormat="1" x14ac:dyDescent="0.2">
      <c r="F124" s="31" t="s">
        <v>147</v>
      </c>
      <c r="I124" s="343">
        <v>0</v>
      </c>
      <c r="L124" s="363" t="s">
        <v>163</v>
      </c>
    </row>
    <row r="125" spans="1:13" s="31" customFormat="1" x14ac:dyDescent="0.2">
      <c r="F125" s="345"/>
      <c r="G125" s="345"/>
      <c r="H125" s="350"/>
      <c r="I125" s="346" t="s">
        <v>68</v>
      </c>
      <c r="J125" s="347"/>
      <c r="K125" s="343" t="s">
        <v>147</v>
      </c>
    </row>
    <row r="126" spans="1:13" s="31" customFormat="1" x14ac:dyDescent="0.2">
      <c r="F126" s="347" t="s">
        <v>68</v>
      </c>
      <c r="G126" s="347"/>
      <c r="H126" s="356"/>
      <c r="I126" s="349">
        <v>13</v>
      </c>
      <c r="J126" s="352"/>
    </row>
    <row r="127" spans="1:13" s="31" customFormat="1" ht="13.5" thickBot="1" x14ac:dyDescent="0.25">
      <c r="I127" s="351"/>
      <c r="J127" s="352"/>
      <c r="L127" s="31" t="s">
        <v>573</v>
      </c>
    </row>
    <row r="128" spans="1:13" s="31" customFormat="1" x14ac:dyDescent="0.2">
      <c r="F128" s="31" t="s">
        <v>573</v>
      </c>
      <c r="I128" s="354">
        <v>13</v>
      </c>
      <c r="J128" s="352"/>
      <c r="K128" s="358"/>
      <c r="L128" s="359" t="s">
        <v>164</v>
      </c>
      <c r="M128" s="360"/>
    </row>
    <row r="129" spans="1:13" s="31" customFormat="1" x14ac:dyDescent="0.2">
      <c r="F129" s="345"/>
      <c r="G129" s="345"/>
      <c r="H129" s="350"/>
      <c r="I129" s="355" t="s">
        <v>573</v>
      </c>
      <c r="J129" s="356"/>
      <c r="K129" s="354">
        <v>13</v>
      </c>
    </row>
    <row r="130" spans="1:13" s="31" customFormat="1" ht="13.5" thickBot="1" x14ac:dyDescent="0.25">
      <c r="F130" s="347" t="s">
        <v>147</v>
      </c>
      <c r="G130" s="347"/>
      <c r="H130" s="356"/>
      <c r="I130" s="357">
        <v>0</v>
      </c>
      <c r="K130" s="351"/>
      <c r="L130" s="351" t="s">
        <v>68</v>
      </c>
      <c r="M130" s="361"/>
    </row>
    <row r="131" spans="1:13" s="31" customFormat="1" x14ac:dyDescent="0.2">
      <c r="K131" s="351"/>
      <c r="L131" s="359" t="s">
        <v>165</v>
      </c>
      <c r="M131" s="351"/>
    </row>
    <row r="133" spans="1:13" x14ac:dyDescent="0.2">
      <c r="A133" s="30">
        <v>1</v>
      </c>
      <c r="B133" s="32" t="s">
        <v>51</v>
      </c>
    </row>
    <row r="134" spans="1:13" x14ac:dyDescent="0.2">
      <c r="A134" s="30">
        <v>2</v>
      </c>
      <c r="B134" s="202" t="s">
        <v>81</v>
      </c>
    </row>
    <row r="135" spans="1:13" x14ac:dyDescent="0.2">
      <c r="A135" s="30">
        <v>3</v>
      </c>
      <c r="B135" s="203" t="s">
        <v>44</v>
      </c>
    </row>
    <row r="136" spans="1:13" x14ac:dyDescent="0.2">
      <c r="A136" s="30">
        <v>4</v>
      </c>
      <c r="B136" s="201" t="s">
        <v>49</v>
      </c>
    </row>
    <row r="137" spans="1:13" x14ac:dyDescent="0.2">
      <c r="A137" s="30">
        <v>5</v>
      </c>
      <c r="B137" s="201" t="s">
        <v>48</v>
      </c>
    </row>
    <row r="138" spans="1:13" x14ac:dyDescent="0.2">
      <c r="A138" s="30">
        <v>6</v>
      </c>
      <c r="B138" s="978" t="s">
        <v>45</v>
      </c>
    </row>
    <row r="139" spans="1:13" x14ac:dyDescent="0.2">
      <c r="A139" s="30">
        <v>7</v>
      </c>
      <c r="B139" s="201" t="s">
        <v>64</v>
      </c>
    </row>
    <row r="140" spans="1:13" x14ac:dyDescent="0.2">
      <c r="A140" s="30">
        <v>8</v>
      </c>
      <c r="B140" s="201" t="s">
        <v>54</v>
      </c>
    </row>
    <row r="141" spans="1:13" x14ac:dyDescent="0.2">
      <c r="A141" s="30">
        <v>9</v>
      </c>
      <c r="B141" s="201" t="s">
        <v>43</v>
      </c>
    </row>
    <row r="142" spans="1:13" x14ac:dyDescent="0.2">
      <c r="A142" s="30">
        <v>10</v>
      </c>
      <c r="B142" s="201" t="s">
        <v>46</v>
      </c>
    </row>
    <row r="143" spans="1:13" x14ac:dyDescent="0.2">
      <c r="A143" s="30">
        <v>11</v>
      </c>
      <c r="B143" s="201" t="s">
        <v>58</v>
      </c>
    </row>
    <row r="144" spans="1:13" x14ac:dyDescent="0.2">
      <c r="A144" s="30">
        <v>12</v>
      </c>
      <c r="B144" s="201" t="s">
        <v>57</v>
      </c>
    </row>
    <row r="145" spans="1:2" x14ac:dyDescent="0.2">
      <c r="A145" s="30">
        <v>13</v>
      </c>
      <c r="B145" s="201" t="s">
        <v>47</v>
      </c>
    </row>
    <row r="146" spans="1:2" x14ac:dyDescent="0.2">
      <c r="A146" s="30">
        <v>14</v>
      </c>
      <c r="B146" s="201" t="s">
        <v>339</v>
      </c>
    </row>
    <row r="147" spans="1:2" x14ac:dyDescent="0.2">
      <c r="A147" s="30">
        <v>15</v>
      </c>
      <c r="B147" s="201" t="s">
        <v>571</v>
      </c>
    </row>
    <row r="148" spans="1:2" x14ac:dyDescent="0.2">
      <c r="A148" s="30">
        <v>16</v>
      </c>
      <c r="B148" s="201" t="s">
        <v>67</v>
      </c>
    </row>
    <row r="149" spans="1:2" x14ac:dyDescent="0.2">
      <c r="A149" s="30">
        <v>17</v>
      </c>
      <c r="B149" s="201" t="s">
        <v>573</v>
      </c>
    </row>
    <row r="150" spans="1:2" x14ac:dyDescent="0.2">
      <c r="A150" s="30">
        <v>18</v>
      </c>
      <c r="B150" s="201" t="s">
        <v>68</v>
      </c>
    </row>
  </sheetData>
  <conditionalFormatting sqref="C18:H28 B26 B7:N7 C8:I8 K8:N8 C9:N13 C15:N17 C14:I14 K14:N14 C29:N131">
    <cfRule type="cellIs" dxfId="72" priority="4" stopIfTrue="1" operator="equal">
      <formula>13</formula>
    </cfRule>
  </conditionalFormatting>
  <conditionalFormatting sqref="B21">
    <cfRule type="duplicateValues" dxfId="71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4" manualBreakCount="4">
    <brk id="28" max="16383" man="1"/>
    <brk id="66" max="14" man="1"/>
    <brk id="100" max="16383" man="1"/>
    <brk id="13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showGridLines="0" showRowColHeaders="0" zoomScaleNormal="100" workbookViewId="0">
      <pane ySplit="6" topLeftCell="A7" activePane="bottomLeft" state="frozen"/>
      <selection pane="bottomLeft" activeCell="V1" sqref="V1"/>
    </sheetView>
  </sheetViews>
  <sheetFormatPr defaultRowHeight="12.75" x14ac:dyDescent="0.2"/>
  <cols>
    <col min="1" max="1" width="3.28515625" style="12" customWidth="1"/>
    <col min="2" max="2" width="18.7109375" style="12" bestFit="1" customWidth="1"/>
    <col min="3" max="20" width="3.42578125" style="12" customWidth="1"/>
    <col min="21" max="21" width="3.42578125" style="945" customWidth="1"/>
    <col min="22" max="22" width="6.5703125" style="278" bestFit="1" customWidth="1"/>
    <col min="23" max="23" width="5.140625" style="12" bestFit="1" customWidth="1"/>
    <col min="24" max="24" width="5.28515625" style="12" bestFit="1" customWidth="1"/>
    <col min="25" max="25" width="5.140625" style="12" bestFit="1" customWidth="1"/>
    <col min="26" max="16384" width="9.140625" style="12"/>
  </cols>
  <sheetData>
    <row r="1" spans="1:25" x14ac:dyDescent="0.2">
      <c r="A1" s="11" t="str">
        <f>UPPER((Kalend!E45)&amp;" - "&amp;(Kalend!C45)&amp;" - "&amp;(Kalend!D45))</f>
        <v>L - HOOAJA LÕPETAMINE (PLIKS-PLAKS) - ÜKSIK</v>
      </c>
      <c r="M1" s="297" t="str">
        <f>HYPERLINK("#Kalend!I1","Kalender")</f>
        <v>Kalender</v>
      </c>
      <c r="N1" s="478"/>
      <c r="P1" s="297" t="str">
        <f>HYPERLINK("#Reit!G1","Reiting")</f>
        <v>Reiting</v>
      </c>
      <c r="Q1" s="478"/>
      <c r="X1" s="278" t="s">
        <v>103</v>
      </c>
    </row>
    <row r="2" spans="1:25" x14ac:dyDescent="0.2">
      <c r="A2" s="9" t="str">
        <f>"Toimumisaeg: "&amp;(Kalend!A45)&amp;" kell "&amp;(Kalend!B45)</f>
        <v>Toimumisaeg: P, 09.10.2016 kell 12:00</v>
      </c>
      <c r="V2" s="12"/>
      <c r="X2" s="278" t="s">
        <v>104</v>
      </c>
    </row>
    <row r="3" spans="1:25" x14ac:dyDescent="0.2">
      <c r="A3" s="9" t="str">
        <f>"Toimumiskoht: "&amp;(Kalend!F45)</f>
        <v>Toimumiskoht: K-Järve spordihoone</v>
      </c>
      <c r="V3" s="12"/>
      <c r="X3" s="278" t="s">
        <v>105</v>
      </c>
    </row>
    <row r="4" spans="1:25" x14ac:dyDescent="0.2">
      <c r="A4" s="9" t="str">
        <f>"Korraldaja: "&amp;(Kalend!G45)</f>
        <v>Korraldaja: K-Järve SHK, Ivar Viljaste</v>
      </c>
      <c r="V4" s="279"/>
    </row>
    <row r="5" spans="1:25" x14ac:dyDescent="0.2">
      <c r="V5" s="280"/>
    </row>
    <row r="6" spans="1:25" s="278" customFormat="1" x14ac:dyDescent="0.2">
      <c r="A6" s="18" t="s">
        <v>124</v>
      </c>
      <c r="B6" s="14" t="s">
        <v>38</v>
      </c>
      <c r="C6" s="14" t="s">
        <v>124</v>
      </c>
      <c r="D6" s="41">
        <v>1</v>
      </c>
      <c r="E6" s="41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41">
        <v>8</v>
      </c>
      <c r="L6" s="41">
        <v>9</v>
      </c>
      <c r="M6" s="41">
        <v>10</v>
      </c>
      <c r="N6" s="41">
        <v>11</v>
      </c>
      <c r="O6" s="41">
        <v>12</v>
      </c>
      <c r="P6" s="41">
        <v>13</v>
      </c>
      <c r="Q6" s="41">
        <v>14</v>
      </c>
      <c r="R6" s="41">
        <v>15</v>
      </c>
      <c r="S6" s="41">
        <v>16</v>
      </c>
      <c r="T6" s="41">
        <v>17</v>
      </c>
      <c r="U6" s="14" t="s">
        <v>124</v>
      </c>
      <c r="V6" s="14" t="s">
        <v>99</v>
      </c>
      <c r="W6" s="14" t="s">
        <v>86</v>
      </c>
      <c r="X6" s="278" t="s">
        <v>35</v>
      </c>
      <c r="Y6" s="278" t="s">
        <v>100</v>
      </c>
    </row>
    <row r="7" spans="1:25" s="278" customFormat="1" x14ac:dyDescent="0.2">
      <c r="A7" s="15">
        <v>1</v>
      </c>
      <c r="B7" s="282" t="s">
        <v>50</v>
      </c>
      <c r="C7" s="41">
        <v>1</v>
      </c>
      <c r="D7" s="283"/>
      <c r="E7" s="284">
        <v>2</v>
      </c>
      <c r="F7" s="281">
        <v>2</v>
      </c>
      <c r="G7" s="281">
        <v>0</v>
      </c>
      <c r="H7" s="281">
        <v>1</v>
      </c>
      <c r="I7" s="281">
        <v>0</v>
      </c>
      <c r="J7" s="281">
        <v>2</v>
      </c>
      <c r="K7" s="281">
        <v>2</v>
      </c>
      <c r="L7" s="281">
        <v>2</v>
      </c>
      <c r="M7" s="281">
        <v>0</v>
      </c>
      <c r="N7" s="281">
        <v>2</v>
      </c>
      <c r="O7" s="281">
        <v>1</v>
      </c>
      <c r="P7" s="281">
        <v>0</v>
      </c>
      <c r="Q7" s="281">
        <v>2</v>
      </c>
      <c r="R7" s="281">
        <v>1</v>
      </c>
      <c r="S7" s="281">
        <v>1</v>
      </c>
      <c r="T7" s="281">
        <v>0</v>
      </c>
      <c r="U7" s="41">
        <v>1</v>
      </c>
      <c r="V7" s="260">
        <f t="shared" ref="V7:V23" si="0">SUM(D7:T7)+COUNTIF(D7:T7,2)/100</f>
        <v>18.07</v>
      </c>
      <c r="W7" s="285">
        <f t="shared" ref="W7:W23" si="1">RANK(V7,V$7:V$23,0)</f>
        <v>6</v>
      </c>
      <c r="X7" s="286">
        <f t="shared" ref="X7:X23" si="2">COUNTIF(D7:T7,"=2")</f>
        <v>7</v>
      </c>
      <c r="Y7" s="287">
        <f t="shared" ref="Y7:Y23" si="3">COUNTIF(D7:T7,"=1")</f>
        <v>4</v>
      </c>
    </row>
    <row r="8" spans="1:25" s="278" customFormat="1" x14ac:dyDescent="0.2">
      <c r="A8" s="15">
        <v>2</v>
      </c>
      <c r="B8" s="282" t="s">
        <v>46</v>
      </c>
      <c r="C8" s="41">
        <v>2</v>
      </c>
      <c r="D8" s="284">
        <v>0</v>
      </c>
      <c r="E8" s="283"/>
      <c r="F8" s="281">
        <v>0</v>
      </c>
      <c r="G8" s="281">
        <v>1</v>
      </c>
      <c r="H8" s="281">
        <v>2</v>
      </c>
      <c r="I8" s="281">
        <v>0</v>
      </c>
      <c r="J8" s="281">
        <v>0</v>
      </c>
      <c r="K8" s="281">
        <v>0</v>
      </c>
      <c r="L8" s="281">
        <v>2</v>
      </c>
      <c r="M8" s="281">
        <v>1</v>
      </c>
      <c r="N8" s="281">
        <v>1</v>
      </c>
      <c r="O8" s="281">
        <v>2</v>
      </c>
      <c r="P8" s="281">
        <v>2</v>
      </c>
      <c r="Q8" s="281">
        <v>0</v>
      </c>
      <c r="R8" s="281">
        <v>0</v>
      </c>
      <c r="S8" s="281">
        <v>2</v>
      </c>
      <c r="T8" s="281">
        <v>2</v>
      </c>
      <c r="U8" s="41">
        <v>2</v>
      </c>
      <c r="V8" s="260">
        <f t="shared" si="0"/>
        <v>15.06</v>
      </c>
      <c r="W8" s="285">
        <f t="shared" si="1"/>
        <v>12</v>
      </c>
      <c r="X8" s="286">
        <f t="shared" si="2"/>
        <v>6</v>
      </c>
      <c r="Y8" s="287">
        <f t="shared" si="3"/>
        <v>3</v>
      </c>
    </row>
    <row r="9" spans="1:25" s="278" customFormat="1" x14ac:dyDescent="0.2">
      <c r="A9" s="15">
        <v>3</v>
      </c>
      <c r="B9" s="979" t="s">
        <v>57</v>
      </c>
      <c r="C9" s="41">
        <v>3</v>
      </c>
      <c r="D9" s="284">
        <v>0</v>
      </c>
      <c r="E9" s="281">
        <v>2</v>
      </c>
      <c r="F9" s="283"/>
      <c r="G9" s="281">
        <v>0</v>
      </c>
      <c r="H9" s="281">
        <v>2</v>
      </c>
      <c r="I9" s="281">
        <v>2</v>
      </c>
      <c r="J9" s="281">
        <v>0</v>
      </c>
      <c r="K9" s="281">
        <v>0</v>
      </c>
      <c r="L9" s="281">
        <v>1</v>
      </c>
      <c r="M9" s="281">
        <v>2</v>
      </c>
      <c r="N9" s="281">
        <v>0</v>
      </c>
      <c r="O9" s="281">
        <v>1</v>
      </c>
      <c r="P9" s="281">
        <v>1</v>
      </c>
      <c r="Q9" s="281">
        <v>0</v>
      </c>
      <c r="R9" s="281">
        <v>0</v>
      </c>
      <c r="S9" s="281">
        <v>0</v>
      </c>
      <c r="T9" s="281">
        <v>2</v>
      </c>
      <c r="U9" s="41">
        <v>3</v>
      </c>
      <c r="V9" s="260">
        <f t="shared" si="0"/>
        <v>13.05</v>
      </c>
      <c r="W9" s="285">
        <f t="shared" si="1"/>
        <v>13</v>
      </c>
      <c r="X9" s="286">
        <f t="shared" si="2"/>
        <v>5</v>
      </c>
      <c r="Y9" s="287">
        <f t="shared" si="3"/>
        <v>3</v>
      </c>
    </row>
    <row r="10" spans="1:25" s="278" customFormat="1" x14ac:dyDescent="0.2">
      <c r="A10" s="15">
        <v>4</v>
      </c>
      <c r="B10" s="1072" t="s">
        <v>45</v>
      </c>
      <c r="C10" s="41">
        <v>4</v>
      </c>
      <c r="D10" s="284">
        <v>2</v>
      </c>
      <c r="E10" s="281">
        <v>1</v>
      </c>
      <c r="F10" s="281">
        <v>2</v>
      </c>
      <c r="G10" s="283"/>
      <c r="H10" s="281">
        <v>0</v>
      </c>
      <c r="I10" s="281">
        <v>2</v>
      </c>
      <c r="J10" s="281">
        <v>0</v>
      </c>
      <c r="K10" s="281">
        <v>0</v>
      </c>
      <c r="L10" s="281">
        <v>1</v>
      </c>
      <c r="M10" s="281">
        <v>2</v>
      </c>
      <c r="N10" s="281">
        <v>2</v>
      </c>
      <c r="O10" s="281">
        <v>2</v>
      </c>
      <c r="P10" s="281">
        <v>2</v>
      </c>
      <c r="Q10" s="281">
        <v>2</v>
      </c>
      <c r="R10" s="281">
        <v>0</v>
      </c>
      <c r="S10" s="281">
        <v>0</v>
      </c>
      <c r="T10" s="281">
        <v>2</v>
      </c>
      <c r="U10" s="41">
        <v>4</v>
      </c>
      <c r="V10" s="260">
        <f t="shared" si="0"/>
        <v>20.09</v>
      </c>
      <c r="W10" s="1073">
        <f t="shared" si="1"/>
        <v>3</v>
      </c>
      <c r="X10" s="286">
        <f t="shared" si="2"/>
        <v>9</v>
      </c>
      <c r="Y10" s="287">
        <f t="shared" si="3"/>
        <v>2</v>
      </c>
    </row>
    <row r="11" spans="1:25" s="278" customFormat="1" x14ac:dyDescent="0.2">
      <c r="A11" s="15">
        <v>5</v>
      </c>
      <c r="B11" s="282" t="s">
        <v>67</v>
      </c>
      <c r="C11" s="41">
        <v>5</v>
      </c>
      <c r="D11" s="284">
        <v>1</v>
      </c>
      <c r="E11" s="281">
        <v>0</v>
      </c>
      <c r="F11" s="281">
        <v>0</v>
      </c>
      <c r="G11" s="281">
        <v>2</v>
      </c>
      <c r="H11" s="283"/>
      <c r="I11" s="284">
        <v>0</v>
      </c>
      <c r="J11" s="281">
        <v>1</v>
      </c>
      <c r="K11" s="281">
        <v>0</v>
      </c>
      <c r="L11" s="281">
        <v>0</v>
      </c>
      <c r="M11" s="281">
        <v>0</v>
      </c>
      <c r="N11" s="281">
        <v>1</v>
      </c>
      <c r="O11" s="281">
        <v>0</v>
      </c>
      <c r="P11" s="281">
        <v>2</v>
      </c>
      <c r="Q11" s="281">
        <v>0</v>
      </c>
      <c r="R11" s="281">
        <v>0</v>
      </c>
      <c r="S11" s="281">
        <v>2</v>
      </c>
      <c r="T11" s="281">
        <v>0</v>
      </c>
      <c r="U11" s="41">
        <v>5</v>
      </c>
      <c r="V11" s="260">
        <f t="shared" si="0"/>
        <v>9.0299999999999994</v>
      </c>
      <c r="W11" s="285">
        <f t="shared" si="1"/>
        <v>16</v>
      </c>
      <c r="X11" s="286">
        <f t="shared" si="2"/>
        <v>3</v>
      </c>
      <c r="Y11" s="287">
        <f t="shared" si="3"/>
        <v>3</v>
      </c>
    </row>
    <row r="12" spans="1:25" s="278" customFormat="1" x14ac:dyDescent="0.2">
      <c r="A12" s="15">
        <v>6</v>
      </c>
      <c r="B12" s="1063" t="s">
        <v>43</v>
      </c>
      <c r="C12" s="41">
        <v>6</v>
      </c>
      <c r="D12" s="284">
        <v>2</v>
      </c>
      <c r="E12" s="281">
        <v>2</v>
      </c>
      <c r="F12" s="281">
        <v>0</v>
      </c>
      <c r="G12" s="281">
        <v>0</v>
      </c>
      <c r="H12" s="281">
        <v>2</v>
      </c>
      <c r="I12" s="283"/>
      <c r="J12" s="281">
        <v>2</v>
      </c>
      <c r="K12" s="281">
        <v>2</v>
      </c>
      <c r="L12" s="281">
        <v>2</v>
      </c>
      <c r="M12" s="281">
        <v>2</v>
      </c>
      <c r="N12" s="281">
        <v>2</v>
      </c>
      <c r="O12" s="281">
        <v>0</v>
      </c>
      <c r="P12" s="281">
        <v>2</v>
      </c>
      <c r="Q12" s="281">
        <v>2</v>
      </c>
      <c r="R12" s="281">
        <v>2</v>
      </c>
      <c r="S12" s="281">
        <v>0</v>
      </c>
      <c r="T12" s="281">
        <v>2</v>
      </c>
      <c r="U12" s="41">
        <v>6</v>
      </c>
      <c r="V12" s="260">
        <f t="shared" si="0"/>
        <v>24.12</v>
      </c>
      <c r="W12" s="1064">
        <f t="shared" si="1"/>
        <v>1</v>
      </c>
      <c r="X12" s="286">
        <f t="shared" si="2"/>
        <v>12</v>
      </c>
      <c r="Y12" s="287">
        <f t="shared" si="3"/>
        <v>0</v>
      </c>
    </row>
    <row r="13" spans="1:25" s="278" customFormat="1" x14ac:dyDescent="0.2">
      <c r="A13" s="15">
        <v>7</v>
      </c>
      <c r="B13" s="282" t="s">
        <v>64</v>
      </c>
      <c r="C13" s="41">
        <v>7</v>
      </c>
      <c r="D13" s="284">
        <v>0</v>
      </c>
      <c r="E13" s="281">
        <v>2</v>
      </c>
      <c r="F13" s="281">
        <v>2</v>
      </c>
      <c r="G13" s="281">
        <v>2</v>
      </c>
      <c r="H13" s="281">
        <v>1</v>
      </c>
      <c r="I13" s="281">
        <v>0</v>
      </c>
      <c r="J13" s="283"/>
      <c r="K13" s="281">
        <v>1</v>
      </c>
      <c r="L13" s="281">
        <v>1</v>
      </c>
      <c r="M13" s="281">
        <v>2</v>
      </c>
      <c r="N13" s="281">
        <v>0</v>
      </c>
      <c r="O13" s="281">
        <v>0</v>
      </c>
      <c r="P13" s="281">
        <v>2</v>
      </c>
      <c r="Q13" s="281">
        <v>2</v>
      </c>
      <c r="R13" s="281">
        <v>0</v>
      </c>
      <c r="S13" s="281">
        <v>2</v>
      </c>
      <c r="T13" s="281">
        <v>0</v>
      </c>
      <c r="U13" s="41">
        <v>7</v>
      </c>
      <c r="V13" s="260">
        <f t="shared" si="0"/>
        <v>17.07</v>
      </c>
      <c r="W13" s="285">
        <f t="shared" si="1"/>
        <v>7</v>
      </c>
      <c r="X13" s="286">
        <f t="shared" si="2"/>
        <v>7</v>
      </c>
      <c r="Y13" s="287">
        <f t="shared" si="3"/>
        <v>3</v>
      </c>
    </row>
    <row r="14" spans="1:25" s="278" customFormat="1" x14ac:dyDescent="0.2">
      <c r="A14" s="15">
        <v>8</v>
      </c>
      <c r="B14" s="282" t="s">
        <v>51</v>
      </c>
      <c r="C14" s="41">
        <v>8</v>
      </c>
      <c r="D14" s="284">
        <v>0</v>
      </c>
      <c r="E14" s="281">
        <v>2</v>
      </c>
      <c r="F14" s="281">
        <v>2</v>
      </c>
      <c r="G14" s="281">
        <v>2</v>
      </c>
      <c r="H14" s="281">
        <v>2</v>
      </c>
      <c r="I14" s="281">
        <v>0</v>
      </c>
      <c r="J14" s="281">
        <v>1</v>
      </c>
      <c r="K14" s="283"/>
      <c r="L14" s="281">
        <v>0</v>
      </c>
      <c r="M14" s="281">
        <v>2</v>
      </c>
      <c r="N14" s="281">
        <v>2</v>
      </c>
      <c r="O14" s="281">
        <v>0</v>
      </c>
      <c r="P14" s="281">
        <v>1</v>
      </c>
      <c r="Q14" s="281">
        <v>0</v>
      </c>
      <c r="R14" s="281">
        <v>1</v>
      </c>
      <c r="S14" s="281">
        <v>1</v>
      </c>
      <c r="T14" s="281">
        <v>0</v>
      </c>
      <c r="U14" s="41">
        <v>8</v>
      </c>
      <c r="V14" s="260">
        <f t="shared" si="0"/>
        <v>16.059999999999999</v>
      </c>
      <c r="W14" s="285">
        <f t="shared" si="1"/>
        <v>10</v>
      </c>
      <c r="X14" s="286">
        <f t="shared" si="2"/>
        <v>6</v>
      </c>
      <c r="Y14" s="287">
        <f t="shared" si="3"/>
        <v>4</v>
      </c>
    </row>
    <row r="15" spans="1:25" s="278" customFormat="1" x14ac:dyDescent="0.2">
      <c r="A15" s="15">
        <v>9</v>
      </c>
      <c r="B15" s="282" t="s">
        <v>49</v>
      </c>
      <c r="C15" s="41">
        <v>9</v>
      </c>
      <c r="D15" s="284">
        <v>0</v>
      </c>
      <c r="E15" s="281">
        <v>0</v>
      </c>
      <c r="F15" s="281">
        <v>1</v>
      </c>
      <c r="G15" s="281">
        <v>1</v>
      </c>
      <c r="H15" s="281">
        <v>2</v>
      </c>
      <c r="I15" s="281">
        <v>0</v>
      </c>
      <c r="J15" s="281">
        <v>1</v>
      </c>
      <c r="K15" s="281">
        <v>2</v>
      </c>
      <c r="L15" s="283"/>
      <c r="M15" s="281">
        <v>2</v>
      </c>
      <c r="N15" s="281">
        <v>2</v>
      </c>
      <c r="O15" s="281">
        <v>2</v>
      </c>
      <c r="P15" s="281">
        <v>2</v>
      </c>
      <c r="Q15" s="281">
        <v>0</v>
      </c>
      <c r="R15" s="281">
        <v>2</v>
      </c>
      <c r="S15" s="281">
        <v>1</v>
      </c>
      <c r="T15" s="281">
        <v>2</v>
      </c>
      <c r="U15" s="41">
        <v>9</v>
      </c>
      <c r="V15" s="260">
        <f t="shared" si="0"/>
        <v>20.079999999999998</v>
      </c>
      <c r="W15" s="285">
        <f t="shared" si="1"/>
        <v>4</v>
      </c>
      <c r="X15" s="286">
        <f t="shared" si="2"/>
        <v>8</v>
      </c>
      <c r="Y15" s="287">
        <f t="shared" si="3"/>
        <v>4</v>
      </c>
    </row>
    <row r="16" spans="1:25" s="278" customFormat="1" x14ac:dyDescent="0.2">
      <c r="A16" s="15">
        <v>10</v>
      </c>
      <c r="B16" s="282" t="s">
        <v>47</v>
      </c>
      <c r="C16" s="41">
        <v>10</v>
      </c>
      <c r="D16" s="284">
        <v>2</v>
      </c>
      <c r="E16" s="281">
        <v>1</v>
      </c>
      <c r="F16" s="281">
        <v>0</v>
      </c>
      <c r="G16" s="281">
        <v>0</v>
      </c>
      <c r="H16" s="281">
        <v>2</v>
      </c>
      <c r="I16" s="281">
        <v>0</v>
      </c>
      <c r="J16" s="281">
        <v>0</v>
      </c>
      <c r="K16" s="281">
        <v>0</v>
      </c>
      <c r="L16" s="281">
        <v>0</v>
      </c>
      <c r="M16" s="283"/>
      <c r="N16" s="281">
        <v>0</v>
      </c>
      <c r="O16" s="281">
        <v>2</v>
      </c>
      <c r="P16" s="281">
        <v>1</v>
      </c>
      <c r="Q16" s="281">
        <v>0</v>
      </c>
      <c r="R16" s="281">
        <v>0</v>
      </c>
      <c r="S16" s="281">
        <v>0</v>
      </c>
      <c r="T16" s="281">
        <v>0</v>
      </c>
      <c r="U16" s="41">
        <v>10</v>
      </c>
      <c r="V16" s="260">
        <f t="shared" si="0"/>
        <v>8.0299999999999994</v>
      </c>
      <c r="W16" s="285">
        <f t="shared" si="1"/>
        <v>17</v>
      </c>
      <c r="X16" s="286">
        <f t="shared" si="2"/>
        <v>3</v>
      </c>
      <c r="Y16" s="287">
        <f t="shared" si="3"/>
        <v>2</v>
      </c>
    </row>
    <row r="17" spans="1:25" s="278" customFormat="1" x14ac:dyDescent="0.2">
      <c r="A17" s="15">
        <v>11</v>
      </c>
      <c r="B17" s="282" t="s">
        <v>349</v>
      </c>
      <c r="C17" s="41">
        <v>11</v>
      </c>
      <c r="D17" s="284">
        <v>0</v>
      </c>
      <c r="E17" s="281">
        <v>1</v>
      </c>
      <c r="F17" s="281">
        <v>2</v>
      </c>
      <c r="G17" s="281">
        <v>0</v>
      </c>
      <c r="H17" s="281">
        <v>1</v>
      </c>
      <c r="I17" s="281">
        <v>0</v>
      </c>
      <c r="J17" s="281">
        <v>2</v>
      </c>
      <c r="K17" s="281">
        <v>0</v>
      </c>
      <c r="L17" s="281">
        <v>0</v>
      </c>
      <c r="M17" s="281">
        <v>2</v>
      </c>
      <c r="N17" s="283"/>
      <c r="O17" s="281">
        <v>0</v>
      </c>
      <c r="P17" s="281">
        <v>0</v>
      </c>
      <c r="Q17" s="281">
        <v>1</v>
      </c>
      <c r="R17" s="281">
        <v>0</v>
      </c>
      <c r="S17" s="281">
        <v>1</v>
      </c>
      <c r="T17" s="281">
        <v>0</v>
      </c>
      <c r="U17" s="41">
        <v>11</v>
      </c>
      <c r="V17" s="260">
        <f t="shared" si="0"/>
        <v>10.029999999999999</v>
      </c>
      <c r="W17" s="285">
        <f t="shared" si="1"/>
        <v>15</v>
      </c>
      <c r="X17" s="286">
        <f t="shared" si="2"/>
        <v>3</v>
      </c>
      <c r="Y17" s="287">
        <f t="shared" si="3"/>
        <v>4</v>
      </c>
    </row>
    <row r="18" spans="1:25" s="278" customFormat="1" x14ac:dyDescent="0.2">
      <c r="A18" s="15">
        <v>12</v>
      </c>
      <c r="B18" s="282" t="s">
        <v>48</v>
      </c>
      <c r="C18" s="41">
        <v>12</v>
      </c>
      <c r="D18" s="284">
        <v>1</v>
      </c>
      <c r="E18" s="281">
        <v>0</v>
      </c>
      <c r="F18" s="281">
        <v>1</v>
      </c>
      <c r="G18" s="281">
        <v>0</v>
      </c>
      <c r="H18" s="281">
        <v>2</v>
      </c>
      <c r="I18" s="281">
        <v>2</v>
      </c>
      <c r="J18" s="281">
        <v>2</v>
      </c>
      <c r="K18" s="281">
        <v>2</v>
      </c>
      <c r="L18" s="281">
        <v>0</v>
      </c>
      <c r="M18" s="281">
        <v>0</v>
      </c>
      <c r="N18" s="281">
        <v>2</v>
      </c>
      <c r="O18" s="283"/>
      <c r="P18" s="281">
        <v>1</v>
      </c>
      <c r="Q18" s="281">
        <v>0</v>
      </c>
      <c r="R18" s="281">
        <v>1</v>
      </c>
      <c r="S18" s="281">
        <v>2</v>
      </c>
      <c r="T18" s="281">
        <v>0</v>
      </c>
      <c r="U18" s="41">
        <v>12</v>
      </c>
      <c r="V18" s="260">
        <f t="shared" si="0"/>
        <v>16.059999999999999</v>
      </c>
      <c r="W18" s="285">
        <f t="shared" si="1"/>
        <v>10</v>
      </c>
      <c r="X18" s="286">
        <f t="shared" si="2"/>
        <v>6</v>
      </c>
      <c r="Y18" s="287">
        <f t="shared" si="3"/>
        <v>4</v>
      </c>
    </row>
    <row r="19" spans="1:25" s="278" customFormat="1" x14ac:dyDescent="0.2">
      <c r="A19" s="15">
        <v>13</v>
      </c>
      <c r="B19" s="282" t="s">
        <v>44</v>
      </c>
      <c r="C19" s="41">
        <v>13</v>
      </c>
      <c r="D19" s="284">
        <v>2</v>
      </c>
      <c r="E19" s="281">
        <v>0</v>
      </c>
      <c r="F19" s="281">
        <v>1</v>
      </c>
      <c r="G19" s="281">
        <v>0</v>
      </c>
      <c r="H19" s="281">
        <v>0</v>
      </c>
      <c r="I19" s="281">
        <v>0</v>
      </c>
      <c r="J19" s="281">
        <v>0</v>
      </c>
      <c r="K19" s="281">
        <v>1</v>
      </c>
      <c r="L19" s="281">
        <v>0</v>
      </c>
      <c r="M19" s="281">
        <v>1</v>
      </c>
      <c r="N19" s="281">
        <v>2</v>
      </c>
      <c r="O19" s="281">
        <v>1</v>
      </c>
      <c r="P19" s="283"/>
      <c r="Q19" s="281">
        <v>2</v>
      </c>
      <c r="R19" s="281">
        <v>0</v>
      </c>
      <c r="S19" s="281">
        <v>0</v>
      </c>
      <c r="T19" s="281">
        <v>1</v>
      </c>
      <c r="U19" s="41">
        <v>13</v>
      </c>
      <c r="V19" s="260">
        <f t="shared" si="0"/>
        <v>11.03</v>
      </c>
      <c r="W19" s="285">
        <f t="shared" si="1"/>
        <v>14</v>
      </c>
      <c r="X19" s="286">
        <f t="shared" si="2"/>
        <v>3</v>
      </c>
      <c r="Y19" s="287">
        <f t="shared" si="3"/>
        <v>5</v>
      </c>
    </row>
    <row r="20" spans="1:25" s="278" customFormat="1" x14ac:dyDescent="0.2">
      <c r="A20" s="15">
        <v>14</v>
      </c>
      <c r="B20" s="282" t="s">
        <v>81</v>
      </c>
      <c r="C20" s="41">
        <v>14</v>
      </c>
      <c r="D20" s="284">
        <v>0</v>
      </c>
      <c r="E20" s="281">
        <v>2</v>
      </c>
      <c r="F20" s="281">
        <v>2</v>
      </c>
      <c r="G20" s="281">
        <v>0</v>
      </c>
      <c r="H20" s="281">
        <v>2</v>
      </c>
      <c r="I20" s="281">
        <v>0</v>
      </c>
      <c r="J20" s="281">
        <v>0</v>
      </c>
      <c r="K20" s="281">
        <v>2</v>
      </c>
      <c r="L20" s="281">
        <v>2</v>
      </c>
      <c r="M20" s="281">
        <v>2</v>
      </c>
      <c r="N20" s="281">
        <v>1</v>
      </c>
      <c r="O20" s="281">
        <v>2</v>
      </c>
      <c r="P20" s="281">
        <v>0</v>
      </c>
      <c r="Q20" s="283"/>
      <c r="R20" s="281">
        <v>2</v>
      </c>
      <c r="S20" s="281">
        <v>0</v>
      </c>
      <c r="T20" s="281">
        <v>2</v>
      </c>
      <c r="U20" s="41">
        <v>14</v>
      </c>
      <c r="V20" s="260">
        <f t="shared" si="0"/>
        <v>19.09</v>
      </c>
      <c r="W20" s="285">
        <f t="shared" si="1"/>
        <v>5</v>
      </c>
      <c r="X20" s="286">
        <f t="shared" si="2"/>
        <v>9</v>
      </c>
      <c r="Y20" s="287">
        <f t="shared" si="3"/>
        <v>1</v>
      </c>
    </row>
    <row r="21" spans="1:25" s="278" customFormat="1" x14ac:dyDescent="0.2">
      <c r="A21" s="15">
        <v>15</v>
      </c>
      <c r="B21" s="1079" t="s">
        <v>58</v>
      </c>
      <c r="C21" s="41">
        <v>15</v>
      </c>
      <c r="D21" s="284">
        <v>1</v>
      </c>
      <c r="E21" s="281">
        <v>2</v>
      </c>
      <c r="F21" s="281">
        <v>2</v>
      </c>
      <c r="G21" s="281">
        <v>2</v>
      </c>
      <c r="H21" s="281">
        <v>2</v>
      </c>
      <c r="I21" s="281">
        <v>0</v>
      </c>
      <c r="J21" s="281">
        <v>2</v>
      </c>
      <c r="K21" s="281">
        <v>1</v>
      </c>
      <c r="L21" s="281">
        <v>0</v>
      </c>
      <c r="M21" s="281">
        <v>2</v>
      </c>
      <c r="N21" s="281">
        <v>2</v>
      </c>
      <c r="O21" s="281">
        <v>1</v>
      </c>
      <c r="P21" s="281">
        <v>2</v>
      </c>
      <c r="Q21" s="281">
        <v>0</v>
      </c>
      <c r="R21" s="283"/>
      <c r="S21" s="281">
        <v>2</v>
      </c>
      <c r="T21" s="281">
        <v>1</v>
      </c>
      <c r="U21" s="41">
        <v>15</v>
      </c>
      <c r="V21" s="260">
        <f t="shared" si="0"/>
        <v>22.09</v>
      </c>
      <c r="W21" s="1080">
        <f t="shared" si="1"/>
        <v>2</v>
      </c>
      <c r="X21" s="286">
        <f t="shared" si="2"/>
        <v>9</v>
      </c>
      <c r="Y21" s="287">
        <f t="shared" si="3"/>
        <v>4</v>
      </c>
    </row>
    <row r="22" spans="1:25" s="278" customFormat="1" x14ac:dyDescent="0.2">
      <c r="A22" s="15">
        <v>16</v>
      </c>
      <c r="B22" s="282" t="s">
        <v>61</v>
      </c>
      <c r="C22" s="41">
        <v>16</v>
      </c>
      <c r="D22" s="284">
        <v>1</v>
      </c>
      <c r="E22" s="281">
        <v>0</v>
      </c>
      <c r="F22" s="281">
        <v>2</v>
      </c>
      <c r="G22" s="281">
        <v>2</v>
      </c>
      <c r="H22" s="281">
        <v>0</v>
      </c>
      <c r="I22" s="281">
        <v>2</v>
      </c>
      <c r="J22" s="281">
        <v>0</v>
      </c>
      <c r="K22" s="281">
        <v>1</v>
      </c>
      <c r="L22" s="281">
        <v>1</v>
      </c>
      <c r="M22" s="281">
        <v>2</v>
      </c>
      <c r="N22" s="281">
        <v>1</v>
      </c>
      <c r="O22" s="281">
        <v>0</v>
      </c>
      <c r="P22" s="281">
        <v>2</v>
      </c>
      <c r="Q22" s="281">
        <v>2</v>
      </c>
      <c r="R22" s="281">
        <v>0</v>
      </c>
      <c r="S22" s="283"/>
      <c r="T22" s="281">
        <v>1</v>
      </c>
      <c r="U22" s="41">
        <v>16</v>
      </c>
      <c r="V22" s="260">
        <f t="shared" si="0"/>
        <v>17.059999999999999</v>
      </c>
      <c r="W22" s="285">
        <f t="shared" si="1"/>
        <v>8</v>
      </c>
      <c r="X22" s="286">
        <f t="shared" si="2"/>
        <v>6</v>
      </c>
      <c r="Y22" s="287">
        <f t="shared" si="3"/>
        <v>5</v>
      </c>
    </row>
    <row r="23" spans="1:25" s="278" customFormat="1" x14ac:dyDescent="0.2">
      <c r="A23" s="15">
        <v>17</v>
      </c>
      <c r="B23" s="282" t="s">
        <v>339</v>
      </c>
      <c r="C23" s="41">
        <v>17</v>
      </c>
      <c r="D23" s="284">
        <v>2</v>
      </c>
      <c r="E23" s="281">
        <v>0</v>
      </c>
      <c r="F23" s="281">
        <v>0</v>
      </c>
      <c r="G23" s="281">
        <v>0</v>
      </c>
      <c r="H23" s="281">
        <v>2</v>
      </c>
      <c r="I23" s="281">
        <v>0</v>
      </c>
      <c r="J23" s="281">
        <v>2</v>
      </c>
      <c r="K23" s="281">
        <v>2</v>
      </c>
      <c r="L23" s="281">
        <v>0</v>
      </c>
      <c r="M23" s="281">
        <v>2</v>
      </c>
      <c r="N23" s="281">
        <v>2</v>
      </c>
      <c r="O23" s="281">
        <v>2</v>
      </c>
      <c r="P23" s="281">
        <v>1</v>
      </c>
      <c r="Q23" s="281">
        <v>0</v>
      </c>
      <c r="R23" s="281">
        <v>0</v>
      </c>
      <c r="S23" s="281">
        <v>1</v>
      </c>
      <c r="T23" s="283"/>
      <c r="U23" s="41">
        <v>17</v>
      </c>
      <c r="V23" s="260">
        <f t="shared" si="0"/>
        <v>16.07</v>
      </c>
      <c r="W23" s="285">
        <f t="shared" si="1"/>
        <v>9</v>
      </c>
      <c r="X23" s="286">
        <f t="shared" si="2"/>
        <v>7</v>
      </c>
      <c r="Y23" s="287">
        <f t="shared" si="3"/>
        <v>2</v>
      </c>
    </row>
    <row r="24" spans="1:25" s="278" customFormat="1" x14ac:dyDescent="0.2">
      <c r="A24" s="14"/>
      <c r="B24" s="14" t="s">
        <v>38</v>
      </c>
      <c r="C24" s="14" t="s">
        <v>124</v>
      </c>
      <c r="D24" s="41">
        <v>1</v>
      </c>
      <c r="E24" s="41">
        <v>2</v>
      </c>
      <c r="F24" s="41">
        <v>3</v>
      </c>
      <c r="G24" s="41">
        <v>4</v>
      </c>
      <c r="H24" s="41">
        <v>5</v>
      </c>
      <c r="I24" s="41">
        <v>6</v>
      </c>
      <c r="J24" s="41">
        <v>7</v>
      </c>
      <c r="K24" s="41">
        <v>8</v>
      </c>
      <c r="L24" s="41">
        <v>9</v>
      </c>
      <c r="M24" s="41">
        <v>10</v>
      </c>
      <c r="N24" s="41">
        <v>11</v>
      </c>
      <c r="O24" s="41">
        <v>12</v>
      </c>
      <c r="P24" s="41">
        <v>13</v>
      </c>
      <c r="Q24" s="41">
        <v>14</v>
      </c>
      <c r="R24" s="41">
        <v>15</v>
      </c>
      <c r="S24" s="41">
        <v>16</v>
      </c>
      <c r="T24" s="41">
        <v>17</v>
      </c>
      <c r="U24" s="14" t="s">
        <v>124</v>
      </c>
      <c r="V24" s="14" t="s">
        <v>99</v>
      </c>
      <c r="W24" s="14" t="s">
        <v>86</v>
      </c>
    </row>
    <row r="25" spans="1:25" s="278" customFormat="1" x14ac:dyDescent="0.2">
      <c r="U25" s="1136"/>
      <c r="V25" s="288"/>
    </row>
    <row r="26" spans="1:25" s="278" customFormat="1" x14ac:dyDescent="0.2">
      <c r="A26" s="278" t="s">
        <v>101</v>
      </c>
      <c r="U26" s="1136"/>
      <c r="V26" s="234"/>
    </row>
    <row r="27" spans="1:25" s="278" customFormat="1" x14ac:dyDescent="0.2">
      <c r="A27" s="278" t="s">
        <v>102</v>
      </c>
      <c r="U27" s="1136"/>
      <c r="V27" s="234"/>
    </row>
    <row r="28" spans="1:25" x14ac:dyDescent="0.2">
      <c r="A28" s="301" t="s">
        <v>197</v>
      </c>
      <c r="V28" s="234"/>
    </row>
    <row r="29" spans="1:25" x14ac:dyDescent="0.2">
      <c r="V29" s="234"/>
    </row>
    <row r="30" spans="1:25" x14ac:dyDescent="0.2">
      <c r="A30" s="272">
        <v>1</v>
      </c>
      <c r="B30" s="1317" t="s">
        <v>43</v>
      </c>
      <c r="F30" s="272">
        <v>10</v>
      </c>
      <c r="G30" s="1313" t="s">
        <v>51</v>
      </c>
      <c r="H30" s="1314"/>
      <c r="I30" s="1314"/>
      <c r="J30" s="1314"/>
      <c r="K30" s="1314"/>
      <c r="L30" s="1315"/>
      <c r="V30" s="234"/>
    </row>
    <row r="31" spans="1:25" x14ac:dyDescent="0.2">
      <c r="A31" s="272">
        <v>2</v>
      </c>
      <c r="B31" s="1079" t="s">
        <v>58</v>
      </c>
      <c r="F31" s="272">
        <v>10</v>
      </c>
      <c r="G31" s="1313" t="s">
        <v>48</v>
      </c>
      <c r="H31" s="1314"/>
      <c r="I31" s="1314"/>
      <c r="J31" s="1314"/>
      <c r="K31" s="1314"/>
      <c r="L31" s="1315"/>
      <c r="V31" s="234"/>
    </row>
    <row r="32" spans="1:25" x14ac:dyDescent="0.2">
      <c r="A32" s="272">
        <v>3</v>
      </c>
      <c r="B32" s="1072" t="s">
        <v>45</v>
      </c>
      <c r="F32" s="272">
        <v>12</v>
      </c>
      <c r="G32" s="1313" t="s">
        <v>46</v>
      </c>
      <c r="H32" s="1314"/>
      <c r="I32" s="1314"/>
      <c r="J32" s="1314"/>
      <c r="K32" s="1314"/>
      <c r="L32" s="1315"/>
      <c r="V32" s="234"/>
    </row>
    <row r="33" spans="1:22" x14ac:dyDescent="0.2">
      <c r="A33" s="272">
        <v>4</v>
      </c>
      <c r="B33" s="282" t="s">
        <v>49</v>
      </c>
      <c r="F33" s="272">
        <v>13</v>
      </c>
      <c r="G33" s="1316" t="s">
        <v>57</v>
      </c>
      <c r="H33" s="1314"/>
      <c r="I33" s="1314"/>
      <c r="J33" s="1314"/>
      <c r="K33" s="1314"/>
      <c r="L33" s="1315"/>
      <c r="V33" s="289"/>
    </row>
    <row r="34" spans="1:22" x14ac:dyDescent="0.2">
      <c r="A34" s="272">
        <v>5</v>
      </c>
      <c r="B34" s="282" t="s">
        <v>81</v>
      </c>
      <c r="F34" s="272">
        <v>14</v>
      </c>
      <c r="G34" s="1313" t="s">
        <v>44</v>
      </c>
      <c r="H34" s="1314"/>
      <c r="I34" s="1314"/>
      <c r="J34" s="1314"/>
      <c r="K34" s="1314"/>
      <c r="L34" s="1315"/>
      <c r="V34" s="289"/>
    </row>
    <row r="35" spans="1:22" x14ac:dyDescent="0.2">
      <c r="A35" s="272">
        <v>6</v>
      </c>
      <c r="B35" s="282" t="s">
        <v>50</v>
      </c>
      <c r="F35" s="272">
        <v>15</v>
      </c>
      <c r="G35" s="1313" t="s">
        <v>349</v>
      </c>
      <c r="H35" s="1314"/>
      <c r="I35" s="1314"/>
      <c r="J35" s="1314"/>
      <c r="K35" s="1314"/>
      <c r="L35" s="1315"/>
    </row>
    <row r="36" spans="1:22" x14ac:dyDescent="0.2">
      <c r="A36" s="272">
        <v>7</v>
      </c>
      <c r="B36" s="282" t="s">
        <v>64</v>
      </c>
      <c r="F36" s="272">
        <v>16</v>
      </c>
      <c r="G36" s="1313" t="s">
        <v>67</v>
      </c>
      <c r="H36" s="1314"/>
      <c r="I36" s="1314"/>
      <c r="J36" s="1314"/>
      <c r="K36" s="1314"/>
      <c r="L36" s="1315"/>
    </row>
    <row r="37" spans="1:22" x14ac:dyDescent="0.2">
      <c r="A37" s="272">
        <v>8</v>
      </c>
      <c r="B37" s="282" t="s">
        <v>61</v>
      </c>
      <c r="F37" s="272">
        <v>17</v>
      </c>
      <c r="G37" s="1313" t="s">
        <v>47</v>
      </c>
      <c r="H37" s="1314"/>
      <c r="I37" s="1314"/>
      <c r="J37" s="1314"/>
      <c r="K37" s="1314"/>
      <c r="L37" s="1315"/>
    </row>
    <row r="38" spans="1:22" x14ac:dyDescent="0.2">
      <c r="A38" s="272">
        <v>9</v>
      </c>
      <c r="B38" s="282" t="s">
        <v>339</v>
      </c>
    </row>
  </sheetData>
  <sortState ref="A31:B47">
    <sortCondition ref="A31"/>
  </sortState>
  <conditionalFormatting sqref="D7:T23">
    <cfRule type="cellIs" dxfId="70" priority="4" stopIfTrue="1" operator="greaterThan">
      <formula>2</formula>
    </cfRule>
  </conditionalFormatting>
  <conditionalFormatting sqref="B9">
    <cfRule type="duplicateValues" dxfId="69" priority="3" stopIfTrue="1"/>
  </conditionalFormatting>
  <conditionalFormatting sqref="V7:V23">
    <cfRule type="duplicateValues" dxfId="68" priority="152" stopIfTrue="1"/>
  </conditionalFormatting>
  <conditionalFormatting sqref="B32">
    <cfRule type="duplicateValues" dxfId="67" priority="2" stopIfTrue="1"/>
  </conditionalFormatting>
  <conditionalFormatting sqref="X7:X23">
    <cfRule type="top10" dxfId="66" priority="1" rank="1"/>
  </conditionalFormatting>
  <pageMargins left="0.78740157480314965" right="0.39370078740157483" top="0.78740157480314965" bottom="0.39370078740157483" header="0.78740157480314965" footer="0"/>
  <pageSetup paperSize="9" fitToHeight="0" orientation="landscape" r:id="rId1"/>
  <headerFooter>
    <oddHeader>&amp;R&amp;"Arial,Regular"&amp;9Page &amp;P of &amp;N</oddHeader>
  </headerFooter>
  <ignoredErrors>
    <ignoredError sqref="V7:Y2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T33"/>
  <sheetViews>
    <sheetView showGridLines="0" showRowColHeaders="0" zoomScaleNormal="100" workbookViewId="0">
      <pane ySplit="6" topLeftCell="A7" activePane="bottomLeft" state="frozen"/>
      <selection activeCell="I1" sqref="I1"/>
      <selection pane="bottomLeft" activeCell="M1" sqref="M1"/>
    </sheetView>
  </sheetViews>
  <sheetFormatPr defaultRowHeight="12.75" x14ac:dyDescent="0.2"/>
  <cols>
    <col min="1" max="1" width="3.28515625" style="250" customWidth="1"/>
    <col min="2" max="2" width="4" style="250" customWidth="1"/>
    <col min="3" max="4" width="3.28515625" style="250" customWidth="1"/>
    <col min="5" max="6" width="3.28515625" style="269" customWidth="1"/>
    <col min="7" max="7" width="23.7109375" style="250" bestFit="1" customWidth="1"/>
    <col min="8" max="8" width="4" style="257" bestFit="1" customWidth="1"/>
    <col min="9" max="9" width="8.5703125" style="257" bestFit="1" customWidth="1"/>
    <col min="10" max="10" width="6.7109375" style="257" hidden="1" customWidth="1"/>
    <col min="11" max="11" width="20.42578125" style="257" hidden="1" customWidth="1"/>
    <col min="12" max="12" width="7.5703125" style="257" hidden="1" customWidth="1"/>
    <col min="13" max="16" width="5.5703125" style="269" bestFit="1" customWidth="1"/>
    <col min="17" max="17" width="5.5703125" style="269" customWidth="1"/>
    <col min="18" max="20" width="3.28515625" style="250" bestFit="1" customWidth="1"/>
    <col min="21" max="16384" width="9.140625" style="250"/>
  </cols>
  <sheetData>
    <row r="1" spans="1:20" x14ac:dyDescent="0.2">
      <c r="B1" s="290"/>
      <c r="C1" s="290"/>
      <c r="D1" s="290" t="s">
        <v>228</v>
      </c>
      <c r="E1" s="291"/>
      <c r="F1" s="291"/>
      <c r="G1" s="291"/>
      <c r="H1" s="291"/>
      <c r="I1" s="291"/>
      <c r="J1" s="985"/>
      <c r="K1" s="291"/>
      <c r="L1" s="291"/>
      <c r="M1" s="291"/>
      <c r="O1" s="297"/>
      <c r="P1" s="291"/>
      <c r="Q1" s="13" t="s">
        <v>616</v>
      </c>
      <c r="R1" s="248"/>
      <c r="S1" s="249" t="s">
        <v>31</v>
      </c>
      <c r="T1" s="249"/>
    </row>
    <row r="2" spans="1:20" x14ac:dyDescent="0.2">
      <c r="B2" s="292"/>
      <c r="C2" s="292"/>
      <c r="D2" s="292" t="s">
        <v>511</v>
      </c>
      <c r="E2" s="291"/>
      <c r="F2" s="291"/>
      <c r="G2" s="291"/>
      <c r="H2" s="291"/>
      <c r="I2" s="291"/>
      <c r="J2" s="985"/>
      <c r="K2" s="291"/>
      <c r="L2" s="291"/>
      <c r="M2" s="291"/>
      <c r="N2" s="291"/>
      <c r="O2" s="291"/>
      <c r="P2" s="291"/>
      <c r="Q2" s="291"/>
      <c r="S2" s="252" t="s">
        <v>32</v>
      </c>
      <c r="T2" s="252"/>
    </row>
    <row r="3" spans="1:20" x14ac:dyDescent="0.2">
      <c r="A3" s="291" t="s">
        <v>20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S3" s="253" t="s">
        <v>33</v>
      </c>
      <c r="T3" s="253"/>
    </row>
    <row r="4" spans="1:20" ht="31.5" customHeight="1" x14ac:dyDescent="0.2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93" t="str">
        <f>MID(Kalend!A10,4,5)</f>
        <v>17.05</v>
      </c>
      <c r="N4" s="293" t="str">
        <f>MID(Kalend!A17,4,5)</f>
        <v>14.06</v>
      </c>
      <c r="O4" s="293" t="str">
        <f>MID(Kalend!A21,4,5)</f>
        <v>05.07</v>
      </c>
      <c r="P4" s="293" t="str">
        <f>MID(Kalend!A33,4,5)</f>
        <v>23.08</v>
      </c>
      <c r="Q4" s="293" t="str">
        <f>MID(Kalend!A42,4,5)</f>
        <v>01.10</v>
      </c>
      <c r="R4" s="1394" t="s">
        <v>88</v>
      </c>
      <c r="S4" s="1395" t="s">
        <v>34</v>
      </c>
      <c r="T4" s="1396" t="s">
        <v>35</v>
      </c>
    </row>
    <row r="5" spans="1:20" x14ac:dyDescent="0.2">
      <c r="A5" s="255"/>
      <c r="B5" s="1308" t="s">
        <v>424</v>
      </c>
      <c r="C5" s="1309"/>
      <c r="D5" s="1309"/>
      <c r="E5" s="1310"/>
      <c r="F5" s="1311"/>
      <c r="G5" s="255"/>
      <c r="H5" s="1303" t="s">
        <v>425</v>
      </c>
      <c r="I5" s="1312"/>
      <c r="J5" s="255"/>
      <c r="K5" s="255"/>
      <c r="L5" s="255"/>
      <c r="M5" s="325" t="str">
        <f>HYPERLINK("#'M1'!I1"," M1 ")</f>
        <v xml:space="preserve"> M1 </v>
      </c>
      <c r="N5" s="325" t="str">
        <f>HYPERLINK("#'M2'!I1"," M2 ")</f>
        <v xml:space="preserve"> M2 </v>
      </c>
      <c r="O5" s="325" t="str">
        <f>HYPERLINK("#'M3'!I1"," M3 ")</f>
        <v xml:space="preserve"> M3 </v>
      </c>
      <c r="P5" s="325" t="str">
        <f>HYPERLINK("#'M4'!I1"," M4 ")</f>
        <v xml:space="preserve"> M4 </v>
      </c>
      <c r="Q5" s="325" t="str">
        <f>HYPERLINK("#'M5'!I1"," M5 ")</f>
        <v xml:space="preserve"> M5 </v>
      </c>
      <c r="R5" s="1394"/>
      <c r="S5" s="1395"/>
      <c r="T5" s="1396"/>
    </row>
    <row r="6" spans="1:20" x14ac:dyDescent="0.2">
      <c r="A6" s="19" t="s">
        <v>123</v>
      </c>
      <c r="B6" s="1302" t="s">
        <v>647</v>
      </c>
      <c r="C6" s="1001" t="s">
        <v>89</v>
      </c>
      <c r="D6" s="610" t="s">
        <v>36</v>
      </c>
      <c r="E6" s="612" t="s">
        <v>37</v>
      </c>
      <c r="F6" s="256" t="s">
        <v>39</v>
      </c>
      <c r="G6" s="256" t="s">
        <v>38</v>
      </c>
      <c r="H6" s="1302" t="s">
        <v>39</v>
      </c>
      <c r="I6" s="38" t="s">
        <v>123</v>
      </c>
      <c r="J6" s="20" t="s">
        <v>415</v>
      </c>
      <c r="K6" s="38" t="s">
        <v>126</v>
      </c>
      <c r="L6" s="38" t="s">
        <v>125</v>
      </c>
      <c r="M6" s="1243" t="s">
        <v>41</v>
      </c>
      <c r="N6" s="1243" t="s">
        <v>40</v>
      </c>
      <c r="O6" s="1243" t="s">
        <v>41</v>
      </c>
      <c r="P6" s="1244" t="s">
        <v>40</v>
      </c>
      <c r="Q6" s="1244" t="s">
        <v>42</v>
      </c>
      <c r="R6" s="258"/>
      <c r="S6" s="259"/>
      <c r="T6" s="248"/>
    </row>
    <row r="7" spans="1:20" x14ac:dyDescent="0.2">
      <c r="A7" s="40">
        <f t="shared" ref="A7:A28" si="0">RANK(I7,I$7:I$28,0)</f>
        <v>1</v>
      </c>
      <c r="B7" s="1297">
        <v>1</v>
      </c>
      <c r="C7" s="1002">
        <v>1</v>
      </c>
      <c r="D7" s="611"/>
      <c r="E7" s="613"/>
      <c r="F7" s="227"/>
      <c r="G7" s="1004" t="s">
        <v>49</v>
      </c>
      <c r="H7" s="1295">
        <v>114</v>
      </c>
      <c r="I7" s="16">
        <f>J7+L7</f>
        <v>114.13</v>
      </c>
      <c r="J7" s="270">
        <f t="shared" ref="J7:J28" si="1">IF(Q7="",0,RANK(Q7,Q$7:Q$28,1)/100)</f>
        <v>0.13</v>
      </c>
      <c r="K7" s="639">
        <f t="shared" ref="K7:K28" si="2">COUNTIF(M7:Q7,40)/1000+COUNTIF(M7:Q7,34)/10000+COUNTIF(M7:Q7,30)/100000+COUNTIF(M7:Q7,26)/1000000+COUNTIF(M7:Q7,24)/10000000+COUNTIF(M7:Q7,22)/100000000+COUNTIF(M7:Q7,20)/1000000000+COUNTIF(M7:Q7,18)/10000000000+COUNTIF(M7:Q7,16)/100000000000+COUNTIF(M7:Q7,14)/1000000000000+COUNTIF(M7:Q7,12)/10000000000000+COUNTIF(M7:Q7,10)/100000000000000+COUNTIF(M7:Q7,8)/1000000000000000+COUNTIF(M7:Q7,6)/10000000000000000+COUNTIF(M7:Q7,4)/10000000000000000+COUNTIF(M7:Q7,2)/100000000000000000</f>
        <v>3.101E-3</v>
      </c>
      <c r="L7" s="16">
        <f t="array" ref="L7">(IF(COUNT(M7,O7)&lt;1,SUM(M7,O7),SUM(LARGE((M7,O7),{1}))))+(IF(COUNT(N7,P7)&lt;1,SUM(N7,P7),SUM(LARGE((N7,P7),{1}))))+Q7</f>
        <v>114</v>
      </c>
      <c r="M7" s="226">
        <v>34</v>
      </c>
      <c r="N7" s="1248">
        <v>40</v>
      </c>
      <c r="O7" s="1248">
        <v>26</v>
      </c>
      <c r="P7" s="226">
        <v>40</v>
      </c>
      <c r="Q7" s="226">
        <v>40</v>
      </c>
      <c r="R7" s="262">
        <f t="shared" ref="R7:R28" si="3">COUNTIF(M7:Q7,"&gt;=0")</f>
        <v>5</v>
      </c>
      <c r="S7" s="262">
        <f t="shared" ref="S7:S28" si="4">COUNTIF(M7:Q7,"&gt;=30")</f>
        <v>4</v>
      </c>
      <c r="T7" s="262">
        <f t="shared" ref="T7:T28" si="5">COUNTIF(M7:Q7,"=40")</f>
        <v>3</v>
      </c>
    </row>
    <row r="8" spans="1:20" x14ac:dyDescent="0.2">
      <c r="A8" s="40">
        <f t="shared" si="0"/>
        <v>2</v>
      </c>
      <c r="B8" s="1297">
        <v>2</v>
      </c>
      <c r="C8" s="1002">
        <v>2</v>
      </c>
      <c r="D8" s="611"/>
      <c r="E8" s="613"/>
      <c r="F8" s="227"/>
      <c r="G8" s="1005" t="s">
        <v>45</v>
      </c>
      <c r="H8" s="1295">
        <v>108</v>
      </c>
      <c r="I8" s="16">
        <f t="shared" ref="I8:I28" si="6">J8+L8</f>
        <v>108.12</v>
      </c>
      <c r="J8" s="270">
        <f t="shared" si="1"/>
        <v>0.12</v>
      </c>
      <c r="K8" s="639">
        <f t="shared" si="2"/>
        <v>1.2011000000000001E-3</v>
      </c>
      <c r="L8" s="16">
        <f t="array" ref="L8">(IF(COUNT(M8,O8)&lt;1,SUM(M8,O8),SUM(LARGE((M8,O8),{1}))))+(IF(COUNT(N8,P8)&lt;1,SUM(N8,P8),SUM(LARGE((N8,P8),{1}))))+Q8</f>
        <v>108</v>
      </c>
      <c r="M8" s="226">
        <v>40</v>
      </c>
      <c r="N8" s="1248">
        <v>26</v>
      </c>
      <c r="O8" s="1249">
        <v>24</v>
      </c>
      <c r="P8" s="226">
        <v>34</v>
      </c>
      <c r="Q8" s="226">
        <v>34</v>
      </c>
      <c r="R8" s="262">
        <f t="shared" si="3"/>
        <v>5</v>
      </c>
      <c r="S8" s="262">
        <f t="shared" si="4"/>
        <v>3</v>
      </c>
      <c r="T8" s="262">
        <f t="shared" si="5"/>
        <v>1</v>
      </c>
    </row>
    <row r="9" spans="1:20" x14ac:dyDescent="0.2">
      <c r="A9" s="40">
        <f t="shared" si="0"/>
        <v>3</v>
      </c>
      <c r="B9" s="1297">
        <v>3</v>
      </c>
      <c r="C9" s="1002">
        <v>3</v>
      </c>
      <c r="D9" s="611"/>
      <c r="E9" s="613"/>
      <c r="F9" s="227"/>
      <c r="G9" s="1006" t="s">
        <v>68</v>
      </c>
      <c r="H9" s="1295">
        <v>104</v>
      </c>
      <c r="I9" s="16">
        <f t="shared" si="6"/>
        <v>104.11</v>
      </c>
      <c r="J9" s="270">
        <f t="shared" si="1"/>
        <v>0.11</v>
      </c>
      <c r="K9" s="639">
        <f t="shared" si="2"/>
        <v>1.111E-3</v>
      </c>
      <c r="L9" s="16">
        <f t="array" ref="L9">(IF(COUNT(M9,O9)&lt;1,SUM(M9,O9),SUM(LARGE((M9,O9),{1}))))+(IF(COUNT(N9,P9)&lt;1,SUM(N9,P9),SUM(LARGE((N9,P9),{1}))))+Q9</f>
        <v>104</v>
      </c>
      <c r="M9" s="1248" t="s">
        <v>313</v>
      </c>
      <c r="N9" s="1248">
        <v>26</v>
      </c>
      <c r="O9" s="261">
        <v>40</v>
      </c>
      <c r="P9" s="226">
        <v>34</v>
      </c>
      <c r="Q9" s="226">
        <v>30</v>
      </c>
      <c r="R9" s="262">
        <f t="shared" si="3"/>
        <v>4</v>
      </c>
      <c r="S9" s="262">
        <f t="shared" si="4"/>
        <v>3</v>
      </c>
      <c r="T9" s="262">
        <f t="shared" si="5"/>
        <v>1</v>
      </c>
    </row>
    <row r="10" spans="1:20" x14ac:dyDescent="0.2">
      <c r="A10" s="40">
        <f t="shared" si="0"/>
        <v>4</v>
      </c>
      <c r="B10" s="1297">
        <v>4</v>
      </c>
      <c r="C10" s="1002">
        <v>4</v>
      </c>
      <c r="D10" s="611"/>
      <c r="E10" s="613"/>
      <c r="F10" s="227"/>
      <c r="G10" s="496" t="s">
        <v>59</v>
      </c>
      <c r="H10" s="1295">
        <v>92</v>
      </c>
      <c r="I10" s="16">
        <f t="shared" si="6"/>
        <v>92.08</v>
      </c>
      <c r="J10" s="270">
        <f t="shared" si="1"/>
        <v>0.08</v>
      </c>
      <c r="K10" s="639">
        <f t="shared" si="2"/>
        <v>1.03001E-3</v>
      </c>
      <c r="L10" s="16">
        <f t="array" ref="L10">(IF(COUNT(M10,O10)&lt;1,SUM(M10,O10),SUM(LARGE((M10,O10),{1}))))+(IF(COUNT(N10,P10)&lt;1,SUM(N10,P10),SUM(LARGE((N10,P10),{1}))))+Q10</f>
        <v>92</v>
      </c>
      <c r="M10" s="1248">
        <v>30</v>
      </c>
      <c r="N10" s="1248">
        <v>30</v>
      </c>
      <c r="O10" s="226">
        <v>30</v>
      </c>
      <c r="P10" s="226">
        <v>40</v>
      </c>
      <c r="Q10" s="226">
        <v>22</v>
      </c>
      <c r="R10" s="262">
        <f t="shared" si="3"/>
        <v>5</v>
      </c>
      <c r="S10" s="262">
        <f t="shared" si="4"/>
        <v>4</v>
      </c>
      <c r="T10" s="262">
        <f t="shared" si="5"/>
        <v>1</v>
      </c>
    </row>
    <row r="11" spans="1:20" x14ac:dyDescent="0.2">
      <c r="A11" s="40">
        <f t="shared" si="0"/>
        <v>5</v>
      </c>
      <c r="B11" s="1297">
        <v>5</v>
      </c>
      <c r="C11" s="1002">
        <v>5</v>
      </c>
      <c r="D11" s="611"/>
      <c r="E11" s="613"/>
      <c r="F11" s="227"/>
      <c r="G11" s="496" t="s">
        <v>81</v>
      </c>
      <c r="H11" s="1295">
        <v>90</v>
      </c>
      <c r="I11" s="16">
        <f t="shared" si="6"/>
        <v>90.1</v>
      </c>
      <c r="J11" s="270">
        <f t="shared" si="1"/>
        <v>0.1</v>
      </c>
      <c r="K11" s="639">
        <f t="shared" si="2"/>
        <v>1.111E-4</v>
      </c>
      <c r="L11" s="16">
        <f t="array" ref="L11">(IF(COUNT(M11,O11)&lt;1,SUM(M11,O11),SUM(LARGE((M11,O11),{1}))))+(IF(COUNT(N11,P11)&lt;1,SUM(N11,P11),SUM(LARGE((N11,P11),{1}))))+Q11</f>
        <v>90</v>
      </c>
      <c r="M11" s="1248" t="s">
        <v>313</v>
      </c>
      <c r="N11" s="226">
        <v>30</v>
      </c>
      <c r="O11" s="226">
        <v>34</v>
      </c>
      <c r="P11" s="1250">
        <v>24</v>
      </c>
      <c r="Q11" s="226">
        <v>26</v>
      </c>
      <c r="R11" s="262">
        <f t="shared" si="3"/>
        <v>4</v>
      </c>
      <c r="S11" s="262">
        <f t="shared" si="4"/>
        <v>2</v>
      </c>
      <c r="T11" s="262">
        <f t="shared" si="5"/>
        <v>0</v>
      </c>
    </row>
    <row r="12" spans="1:20" x14ac:dyDescent="0.2">
      <c r="A12" s="40">
        <f t="shared" si="0"/>
        <v>6</v>
      </c>
      <c r="B12" s="1297">
        <v>6</v>
      </c>
      <c r="C12" s="1002"/>
      <c r="D12" s="611">
        <v>1</v>
      </c>
      <c r="E12" s="613"/>
      <c r="F12" s="227"/>
      <c r="G12" s="500" t="s">
        <v>339</v>
      </c>
      <c r="H12" s="1295">
        <v>88</v>
      </c>
      <c r="I12" s="16">
        <f t="shared" si="6"/>
        <v>88.09</v>
      </c>
      <c r="J12" s="270">
        <f t="shared" si="1"/>
        <v>0.09</v>
      </c>
      <c r="K12" s="639">
        <f t="shared" si="2"/>
        <v>1.1020000000000001E-4</v>
      </c>
      <c r="L12" s="16">
        <f t="array" ref="L12">(IF(COUNT(M12,O12)&lt;1,SUM(M12,O12),SUM(LARGE((M12,O12),{1}))))+(IF(COUNT(N12,P12)&lt;1,SUM(N12,P12),SUM(LARGE((N12,P12),{1}))))+Q12</f>
        <v>88</v>
      </c>
      <c r="M12" s="1248" t="s">
        <v>313</v>
      </c>
      <c r="N12" s="226">
        <v>30</v>
      </c>
      <c r="O12" s="226">
        <v>34</v>
      </c>
      <c r="P12" s="1250">
        <v>24</v>
      </c>
      <c r="Q12" s="226">
        <v>24</v>
      </c>
      <c r="R12" s="262">
        <f t="shared" si="3"/>
        <v>4</v>
      </c>
      <c r="S12" s="262">
        <f t="shared" si="4"/>
        <v>2</v>
      </c>
      <c r="T12" s="262">
        <f t="shared" si="5"/>
        <v>0</v>
      </c>
    </row>
    <row r="13" spans="1:20" x14ac:dyDescent="0.2">
      <c r="A13" s="40">
        <f t="shared" si="0"/>
        <v>7</v>
      </c>
      <c r="B13" s="1297">
        <v>7</v>
      </c>
      <c r="C13" s="1002">
        <v>6</v>
      </c>
      <c r="D13" s="611"/>
      <c r="E13" s="613"/>
      <c r="F13" s="227"/>
      <c r="G13" s="978" t="s">
        <v>47</v>
      </c>
      <c r="H13" s="1295">
        <v>80</v>
      </c>
      <c r="I13" s="16">
        <f t="shared" si="6"/>
        <v>80.040000000000006</v>
      </c>
      <c r="J13" s="270">
        <f t="shared" si="1"/>
        <v>0.04</v>
      </c>
      <c r="K13" s="639">
        <f t="shared" si="2"/>
        <v>2.0010100010000001E-3</v>
      </c>
      <c r="L13" s="16">
        <f t="array" ref="L13">(IF(COUNT(M13,O13)&lt;1,SUM(M13,O13),SUM(LARGE((M13,O13),{1}))))+(IF(COUNT(N13,P13)&lt;1,SUM(N13,P13),SUM(LARGE((N13,P13),{1}))))+Q13</f>
        <v>80</v>
      </c>
      <c r="M13" s="1248">
        <v>22</v>
      </c>
      <c r="N13" s="1248">
        <v>40</v>
      </c>
      <c r="O13" s="226">
        <v>26</v>
      </c>
      <c r="P13" s="226">
        <v>40</v>
      </c>
      <c r="Q13" s="226">
        <v>14</v>
      </c>
      <c r="R13" s="262">
        <f t="shared" si="3"/>
        <v>5</v>
      </c>
      <c r="S13" s="262">
        <f t="shared" si="4"/>
        <v>2</v>
      </c>
      <c r="T13" s="262">
        <f t="shared" si="5"/>
        <v>2</v>
      </c>
    </row>
    <row r="14" spans="1:20" x14ac:dyDescent="0.2">
      <c r="A14" s="40">
        <f t="shared" si="0"/>
        <v>8</v>
      </c>
      <c r="B14" s="1297">
        <v>8</v>
      </c>
      <c r="C14" s="1002">
        <v>7</v>
      </c>
      <c r="D14" s="611"/>
      <c r="E14" s="613"/>
      <c r="F14" s="227"/>
      <c r="G14" s="953" t="s">
        <v>44</v>
      </c>
      <c r="H14" s="1295">
        <v>76</v>
      </c>
      <c r="I14" s="16">
        <f t="shared" si="6"/>
        <v>76.05</v>
      </c>
      <c r="J14" s="270">
        <f t="shared" si="1"/>
        <v>0.05</v>
      </c>
      <c r="K14" s="639">
        <f t="shared" si="2"/>
        <v>3.0000010000000001E-5</v>
      </c>
      <c r="L14" s="16">
        <f t="array" ref="L14">(IF(COUNT(M14,O14)&lt;1,SUM(M14,O14),SUM(LARGE((M14,O14),{1}))))+(IF(COUNT(N14,P14)&lt;1,SUM(N14,P14),SUM(LARGE((N14,P14),{1}))))+Q14</f>
        <v>76</v>
      </c>
      <c r="M14" s="1248">
        <v>30</v>
      </c>
      <c r="N14" s="1248" t="s">
        <v>313</v>
      </c>
      <c r="O14" s="226">
        <v>30</v>
      </c>
      <c r="P14" s="226">
        <v>30</v>
      </c>
      <c r="Q14" s="226">
        <v>16</v>
      </c>
      <c r="R14" s="262">
        <f t="shared" si="3"/>
        <v>4</v>
      </c>
      <c r="S14" s="262">
        <f t="shared" si="4"/>
        <v>3</v>
      </c>
      <c r="T14" s="262">
        <f t="shared" si="5"/>
        <v>0</v>
      </c>
    </row>
    <row r="15" spans="1:20" x14ac:dyDescent="0.2">
      <c r="A15" s="40">
        <f t="shared" si="0"/>
        <v>9</v>
      </c>
      <c r="B15" s="1297">
        <v>9</v>
      </c>
      <c r="C15" s="1002">
        <v>8</v>
      </c>
      <c r="D15" s="611"/>
      <c r="E15" s="613">
        <v>1</v>
      </c>
      <c r="F15" s="227">
        <v>1</v>
      </c>
      <c r="G15" s="1287" t="s">
        <v>50</v>
      </c>
      <c r="H15" s="1295">
        <v>74</v>
      </c>
      <c r="I15" s="16">
        <f t="shared" si="6"/>
        <v>74.069999999999993</v>
      </c>
      <c r="J15" s="270">
        <f t="shared" si="1"/>
        <v>7.0000000000000007E-2</v>
      </c>
      <c r="K15" s="639">
        <f t="shared" si="2"/>
        <v>1.0201100000000001E-5</v>
      </c>
      <c r="L15" s="16">
        <f t="array" ref="L15">(IF(COUNT(M15,O15)&lt;1,SUM(M15,O15),SUM(LARGE((M15,O15),{1}))))+(IF(COUNT(N15,P15)&lt;1,SUM(N15,P15),SUM(LARGE((N15,P15),{1}))))+Q15</f>
        <v>74</v>
      </c>
      <c r="M15" s="261">
        <v>24</v>
      </c>
      <c r="N15" s="1248">
        <v>24</v>
      </c>
      <c r="O15" s="1248">
        <v>18</v>
      </c>
      <c r="P15" s="261">
        <v>30</v>
      </c>
      <c r="Q15" s="226">
        <v>20</v>
      </c>
      <c r="R15" s="262">
        <f t="shared" si="3"/>
        <v>5</v>
      </c>
      <c r="S15" s="262">
        <f t="shared" si="4"/>
        <v>1</v>
      </c>
      <c r="T15" s="262">
        <f t="shared" si="5"/>
        <v>0</v>
      </c>
    </row>
    <row r="16" spans="1:20" x14ac:dyDescent="0.2">
      <c r="A16" s="40">
        <f t="shared" si="0"/>
        <v>10</v>
      </c>
      <c r="B16" s="1297">
        <v>10</v>
      </c>
      <c r="C16" s="1002">
        <v>9</v>
      </c>
      <c r="D16" s="611"/>
      <c r="E16" s="613"/>
      <c r="F16" s="227"/>
      <c r="G16" s="953" t="s">
        <v>55</v>
      </c>
      <c r="H16" s="1295">
        <v>74</v>
      </c>
      <c r="I16" s="16">
        <f t="shared" si="6"/>
        <v>74</v>
      </c>
      <c r="J16" s="270">
        <f t="shared" si="1"/>
        <v>0</v>
      </c>
      <c r="K16" s="639">
        <f t="shared" si="2"/>
        <v>1.1010099999999999E-3</v>
      </c>
      <c r="L16" s="16">
        <f t="array" ref="L16">(IF(COUNT(M16,O16)&lt;1,SUM(M16,O16),SUM(LARGE((M16,O16),{1}))))+(IF(COUNT(N16,P16)&lt;1,SUM(N16,P16),SUM(LARGE((N16,P16),{1}))))+Q16</f>
        <v>74</v>
      </c>
      <c r="M16" s="1248">
        <v>22</v>
      </c>
      <c r="N16" s="1248">
        <v>26</v>
      </c>
      <c r="O16" s="226">
        <v>40</v>
      </c>
      <c r="P16" s="226">
        <v>34</v>
      </c>
      <c r="Q16" s="226"/>
      <c r="R16" s="262">
        <f t="shared" si="3"/>
        <v>4</v>
      </c>
      <c r="S16" s="262">
        <f t="shared" si="4"/>
        <v>2</v>
      </c>
      <c r="T16" s="262">
        <f t="shared" si="5"/>
        <v>1</v>
      </c>
    </row>
    <row r="17" spans="1:20" x14ac:dyDescent="0.2">
      <c r="A17" s="40">
        <f t="shared" si="0"/>
        <v>11</v>
      </c>
      <c r="B17" s="1297">
        <v>11</v>
      </c>
      <c r="C17" s="1002">
        <v>10</v>
      </c>
      <c r="D17" s="611"/>
      <c r="E17" s="613"/>
      <c r="F17" s="227">
        <v>2</v>
      </c>
      <c r="G17" s="605" t="s">
        <v>53</v>
      </c>
      <c r="H17" s="1295">
        <v>66</v>
      </c>
      <c r="I17" s="16">
        <f t="shared" si="6"/>
        <v>66</v>
      </c>
      <c r="J17" s="270">
        <f t="shared" si="1"/>
        <v>0</v>
      </c>
      <c r="K17" s="639">
        <f t="shared" si="2"/>
        <v>1.011E-3</v>
      </c>
      <c r="L17" s="16">
        <f t="array" ref="L17">(IF(COUNT(M17,O17)&lt;1,SUM(M17,O17),SUM(LARGE((M17,O17),{1}))))+(IF(COUNT(N17,P17)&lt;1,SUM(N17,P17),SUM(LARGE((N17,P17),{1}))))+Q17</f>
        <v>66</v>
      </c>
      <c r="M17" s="1248" t="s">
        <v>313</v>
      </c>
      <c r="N17" s="226">
        <v>40</v>
      </c>
      <c r="O17" s="226">
        <v>26</v>
      </c>
      <c r="P17" s="1248">
        <v>30</v>
      </c>
      <c r="Q17" s="226"/>
      <c r="R17" s="262">
        <f t="shared" si="3"/>
        <v>3</v>
      </c>
      <c r="S17" s="262">
        <f t="shared" si="4"/>
        <v>2</v>
      </c>
      <c r="T17" s="262">
        <f t="shared" si="5"/>
        <v>1</v>
      </c>
    </row>
    <row r="18" spans="1:20" x14ac:dyDescent="0.2">
      <c r="A18" s="40">
        <f t="shared" si="0"/>
        <v>12</v>
      </c>
      <c r="B18" s="1297">
        <v>12</v>
      </c>
      <c r="C18" s="1002">
        <v>11</v>
      </c>
      <c r="D18" s="611"/>
      <c r="E18" s="613"/>
      <c r="F18" s="227">
        <v>3</v>
      </c>
      <c r="G18" s="605" t="s">
        <v>46</v>
      </c>
      <c r="H18" s="1295">
        <v>64</v>
      </c>
      <c r="I18" s="16">
        <f t="shared" si="6"/>
        <v>64.02</v>
      </c>
      <c r="J18" s="270">
        <f t="shared" si="1"/>
        <v>0.02</v>
      </c>
      <c r="K18" s="639">
        <f t="shared" si="2"/>
        <v>1.0200100010000001E-5</v>
      </c>
      <c r="L18" s="16">
        <f t="array" ref="L18">(IF(COUNT(M18,O18)&lt;1,SUM(M18,O18),SUM(LARGE((M18,O18),{1}))))+(IF(COUNT(N18,P18)&lt;1,SUM(N18,P18),SUM(LARGE((N18,P18),{1}))))+Q18</f>
        <v>64</v>
      </c>
      <c r="M18" s="261">
        <v>24</v>
      </c>
      <c r="N18" s="1248">
        <v>24</v>
      </c>
      <c r="O18" s="1248">
        <v>18</v>
      </c>
      <c r="P18" s="261">
        <v>30</v>
      </c>
      <c r="Q18" s="226">
        <v>10</v>
      </c>
      <c r="R18" s="262">
        <f t="shared" si="3"/>
        <v>5</v>
      </c>
      <c r="S18" s="262">
        <f t="shared" si="4"/>
        <v>1</v>
      </c>
      <c r="T18" s="262">
        <f t="shared" si="5"/>
        <v>0</v>
      </c>
    </row>
    <row r="19" spans="1:20" x14ac:dyDescent="0.2">
      <c r="A19" s="40">
        <f t="shared" si="0"/>
        <v>13</v>
      </c>
      <c r="B19" s="1297">
        <v>13</v>
      </c>
      <c r="C19" s="1002">
        <v>12</v>
      </c>
      <c r="D19" s="611"/>
      <c r="E19" s="613"/>
      <c r="F19" s="227"/>
      <c r="G19" s="1036" t="s">
        <v>54</v>
      </c>
      <c r="H19" s="1295">
        <v>64</v>
      </c>
      <c r="I19" s="16">
        <f t="shared" si="6"/>
        <v>64.010000000000005</v>
      </c>
      <c r="J19" s="270">
        <f t="shared" si="1"/>
        <v>0.01</v>
      </c>
      <c r="K19" s="639">
        <f t="shared" si="2"/>
        <v>1.01010000001E-4</v>
      </c>
      <c r="L19" s="16">
        <f t="array" ref="L19">(IF(COUNT(M19,O19)&lt;1,SUM(M19,O19),SUM(LARGE((M19,O19),{1}))))+(IF(COUNT(N19,P19)&lt;1,SUM(N19,P19),SUM(LARGE((N19,P19),{1}))))+Q19</f>
        <v>64</v>
      </c>
      <c r="M19" s="1248" t="s">
        <v>313</v>
      </c>
      <c r="N19" s="226">
        <v>34</v>
      </c>
      <c r="O19" s="226">
        <v>22</v>
      </c>
      <c r="P19" s="1248">
        <v>26</v>
      </c>
      <c r="Q19" s="226">
        <v>8</v>
      </c>
      <c r="R19" s="262">
        <f t="shared" si="3"/>
        <v>4</v>
      </c>
      <c r="S19" s="262">
        <f t="shared" si="4"/>
        <v>1</v>
      </c>
      <c r="T19" s="262">
        <f t="shared" si="5"/>
        <v>0</v>
      </c>
    </row>
    <row r="20" spans="1:20" x14ac:dyDescent="0.2">
      <c r="A20" s="40">
        <f t="shared" si="0"/>
        <v>14</v>
      </c>
      <c r="B20" s="1297">
        <v>14</v>
      </c>
      <c r="C20" s="1002">
        <v>13</v>
      </c>
      <c r="D20" s="611"/>
      <c r="E20" s="613"/>
      <c r="F20" s="227"/>
      <c r="G20" s="979" t="s">
        <v>63</v>
      </c>
      <c r="H20" s="1295">
        <v>56</v>
      </c>
      <c r="I20" s="16">
        <f t="shared" si="6"/>
        <v>56</v>
      </c>
      <c r="J20" s="270">
        <f t="shared" si="1"/>
        <v>0</v>
      </c>
      <c r="K20" s="639">
        <f t="shared" si="2"/>
        <v>1.0101E-4</v>
      </c>
      <c r="L20" s="16">
        <f t="array" ref="L20">(IF(COUNT(M20,O20)&lt;1,SUM(M20,O20),SUM(LARGE((M20,O20),{1}))))+(IF(COUNT(N20,P20)&lt;1,SUM(N20,P20),SUM(LARGE((N20,P20),{1}))))+Q20</f>
        <v>56</v>
      </c>
      <c r="M20" s="1248" t="s">
        <v>313</v>
      </c>
      <c r="N20" s="226">
        <v>34</v>
      </c>
      <c r="O20" s="226">
        <v>22</v>
      </c>
      <c r="P20" s="1248">
        <v>26</v>
      </c>
      <c r="Q20" s="226"/>
      <c r="R20" s="262">
        <f t="shared" si="3"/>
        <v>3</v>
      </c>
      <c r="S20" s="262">
        <f t="shared" si="4"/>
        <v>1</v>
      </c>
      <c r="T20" s="262">
        <f t="shared" si="5"/>
        <v>0</v>
      </c>
    </row>
    <row r="21" spans="1:20" x14ac:dyDescent="0.2">
      <c r="A21" s="40">
        <f t="shared" si="0"/>
        <v>15</v>
      </c>
      <c r="B21" s="1297">
        <v>15</v>
      </c>
      <c r="C21" s="1002">
        <v>14</v>
      </c>
      <c r="D21" s="611"/>
      <c r="E21" s="613"/>
      <c r="F21" s="227"/>
      <c r="G21" s="979" t="s">
        <v>60</v>
      </c>
      <c r="H21" s="1295">
        <v>54</v>
      </c>
      <c r="I21" s="16">
        <f t="shared" si="6"/>
        <v>54</v>
      </c>
      <c r="J21" s="270">
        <f t="shared" si="1"/>
        <v>0</v>
      </c>
      <c r="K21" s="639">
        <f t="shared" si="2"/>
        <v>1.0000100000000001E-4</v>
      </c>
      <c r="L21" s="16">
        <f t="array" ref="L21">(IF(COUNT(M21,O21)&lt;1,SUM(M21,O21),SUM(LARGE((M21,O21),{1}))))+(IF(COUNT(N21,P21)&lt;1,SUM(N21,P21),SUM(LARGE((N21,P21),{1}))))+Q21</f>
        <v>54</v>
      </c>
      <c r="M21" s="1248" t="s">
        <v>313</v>
      </c>
      <c r="N21" s="226">
        <v>34</v>
      </c>
      <c r="O21" s="226">
        <v>20</v>
      </c>
      <c r="P21" s="1248" t="s">
        <v>313</v>
      </c>
      <c r="Q21" s="226"/>
      <c r="R21" s="262">
        <f t="shared" si="3"/>
        <v>2</v>
      </c>
      <c r="S21" s="262">
        <f t="shared" si="4"/>
        <v>1</v>
      </c>
      <c r="T21" s="262">
        <f t="shared" si="5"/>
        <v>0</v>
      </c>
    </row>
    <row r="22" spans="1:20" x14ac:dyDescent="0.2">
      <c r="A22" s="40">
        <f t="shared" si="0"/>
        <v>16</v>
      </c>
      <c r="B22" s="1297">
        <v>16</v>
      </c>
      <c r="C22" s="1002"/>
      <c r="D22" s="611">
        <v>2</v>
      </c>
      <c r="E22" s="613"/>
      <c r="F22" s="227"/>
      <c r="G22" s="500" t="s">
        <v>67</v>
      </c>
      <c r="H22" s="1295">
        <v>52</v>
      </c>
      <c r="I22" s="16">
        <f t="shared" si="6"/>
        <v>52.06</v>
      </c>
      <c r="J22" s="270">
        <f t="shared" si="1"/>
        <v>0.06</v>
      </c>
      <c r="K22" s="639">
        <f t="shared" si="2"/>
        <v>1.000001E-4</v>
      </c>
      <c r="L22" s="16">
        <f t="array" ref="L22">(IF(COUNT(M22,O22)&lt;1,SUM(M22,O22),SUM(LARGE((M22,O22),{1}))))+(IF(COUNT(N22,P22)&lt;1,SUM(N22,P22),SUM(LARGE((N22,P22),{1}))))+Q22</f>
        <v>52</v>
      </c>
      <c r="M22" s="226">
        <v>34</v>
      </c>
      <c r="N22" s="1248"/>
      <c r="O22" s="1248" t="s">
        <v>313</v>
      </c>
      <c r="P22" s="226"/>
      <c r="Q22" s="226">
        <v>18</v>
      </c>
      <c r="R22" s="262">
        <f t="shared" si="3"/>
        <v>2</v>
      </c>
      <c r="S22" s="262">
        <f t="shared" si="4"/>
        <v>1</v>
      </c>
      <c r="T22" s="262">
        <f t="shared" si="5"/>
        <v>0</v>
      </c>
    </row>
    <row r="23" spans="1:20" x14ac:dyDescent="0.2">
      <c r="A23" s="40">
        <f t="shared" si="0"/>
        <v>17</v>
      </c>
      <c r="B23" s="1297">
        <v>17</v>
      </c>
      <c r="C23" s="1002">
        <v>15</v>
      </c>
      <c r="D23" s="611"/>
      <c r="E23" s="613"/>
      <c r="F23" s="227"/>
      <c r="G23" s="638" t="s">
        <v>57</v>
      </c>
      <c r="H23" s="1295">
        <v>52</v>
      </c>
      <c r="I23" s="16">
        <f t="shared" si="6"/>
        <v>52.03</v>
      </c>
      <c r="J23" s="270">
        <f t="shared" si="1"/>
        <v>0.03</v>
      </c>
      <c r="K23" s="639">
        <f t="shared" si="2"/>
        <v>1.0001000001000002E-3</v>
      </c>
      <c r="L23" s="16">
        <f t="array" ref="L23">(IF(COUNT(M23,O23)&lt;1,SUM(M23,O23),SUM(LARGE((M23,O23),{1}))))+(IF(COUNT(N23,P23)&lt;1,SUM(N23,P23),SUM(LARGE((N23,P23),{1}))))+Q23</f>
        <v>52</v>
      </c>
      <c r="M23" s="226">
        <v>40</v>
      </c>
      <c r="N23" s="1248" t="s">
        <v>313</v>
      </c>
      <c r="O23" s="1248">
        <v>24</v>
      </c>
      <c r="P23" s="226"/>
      <c r="Q23" s="226">
        <v>12</v>
      </c>
      <c r="R23" s="262">
        <f t="shared" si="3"/>
        <v>3</v>
      </c>
      <c r="S23" s="262">
        <f t="shared" si="4"/>
        <v>1</v>
      </c>
      <c r="T23" s="262">
        <f t="shared" si="5"/>
        <v>1</v>
      </c>
    </row>
    <row r="24" spans="1:20" s="257" customFormat="1" x14ac:dyDescent="0.2">
      <c r="A24" s="40">
        <f t="shared" si="0"/>
        <v>18</v>
      </c>
      <c r="B24" s="1297">
        <v>18</v>
      </c>
      <c r="C24" s="1002"/>
      <c r="D24" s="611">
        <v>3</v>
      </c>
      <c r="E24" s="613"/>
      <c r="F24" s="227"/>
      <c r="G24" s="500" t="s">
        <v>416</v>
      </c>
      <c r="H24" s="1295">
        <v>46</v>
      </c>
      <c r="I24" s="16">
        <f t="shared" si="6"/>
        <v>46</v>
      </c>
      <c r="J24" s="270">
        <f t="shared" si="1"/>
        <v>0</v>
      </c>
      <c r="K24" s="639">
        <f t="shared" si="2"/>
        <v>1.001E-6</v>
      </c>
      <c r="L24" s="16">
        <f t="array" ref="L24">(IF(COUNT(M24,O24)&lt;1,SUM(M24,O24),SUM(LARGE((M24,O24),{1}))))+(IF(COUNT(N24,P24)&lt;1,SUM(N24,P24),SUM(LARGE((N24,P24),{1}))))+Q24</f>
        <v>46</v>
      </c>
      <c r="M24" s="1248" t="s">
        <v>313</v>
      </c>
      <c r="N24" s="1248" t="s">
        <v>313</v>
      </c>
      <c r="O24" s="226">
        <v>20</v>
      </c>
      <c r="P24" s="226">
        <v>26</v>
      </c>
      <c r="Q24" s="226"/>
      <c r="R24" s="262">
        <f t="shared" si="3"/>
        <v>2</v>
      </c>
      <c r="S24" s="262">
        <f t="shared" si="4"/>
        <v>0</v>
      </c>
      <c r="T24" s="262">
        <f t="shared" si="5"/>
        <v>0</v>
      </c>
    </row>
    <row r="25" spans="1:20" x14ac:dyDescent="0.2">
      <c r="A25" s="40">
        <f t="shared" si="0"/>
        <v>19</v>
      </c>
      <c r="B25" s="1297">
        <v>19</v>
      </c>
      <c r="C25" s="1002">
        <v>16</v>
      </c>
      <c r="D25" s="611"/>
      <c r="E25" s="613"/>
      <c r="F25" s="227"/>
      <c r="G25" s="620" t="s">
        <v>56</v>
      </c>
      <c r="H25" s="1295">
        <v>26</v>
      </c>
      <c r="I25" s="16">
        <f t="shared" si="6"/>
        <v>26</v>
      </c>
      <c r="J25" s="270">
        <f t="shared" si="1"/>
        <v>0</v>
      </c>
      <c r="K25" s="639">
        <f t="shared" si="2"/>
        <v>9.9999999999999995E-7</v>
      </c>
      <c r="L25" s="16">
        <f t="array" ref="L25">(IF(COUNT(M25,O25)&lt;1,SUM(M25,O25),SUM(LARGE((M25,O25),{1}))))+(IF(COUNT(N25,P25)&lt;1,SUM(N25,P25),SUM(LARGE((N25,P25),{1}))))+Q25</f>
        <v>26</v>
      </c>
      <c r="M25" s="226">
        <v>26</v>
      </c>
      <c r="N25" s="1248" t="s">
        <v>313</v>
      </c>
      <c r="O25" s="1248" t="s">
        <v>313</v>
      </c>
      <c r="P25" s="261"/>
      <c r="Q25" s="226"/>
      <c r="R25" s="262">
        <f t="shared" si="3"/>
        <v>1</v>
      </c>
      <c r="S25" s="262">
        <f t="shared" si="4"/>
        <v>0</v>
      </c>
      <c r="T25" s="262">
        <f t="shared" si="5"/>
        <v>0</v>
      </c>
    </row>
    <row r="26" spans="1:20" x14ac:dyDescent="0.2">
      <c r="A26" s="40">
        <f t="shared" si="0"/>
        <v>19</v>
      </c>
      <c r="B26" s="1297">
        <v>19</v>
      </c>
      <c r="C26" s="1002">
        <v>17</v>
      </c>
      <c r="D26" s="611"/>
      <c r="E26" s="613"/>
      <c r="F26" s="227"/>
      <c r="G26" s="760" t="s">
        <v>65</v>
      </c>
      <c r="H26" s="1295">
        <v>26</v>
      </c>
      <c r="I26" s="16">
        <f t="shared" si="6"/>
        <v>26</v>
      </c>
      <c r="J26" s="270">
        <f t="shared" si="1"/>
        <v>0</v>
      </c>
      <c r="K26" s="639">
        <f t="shared" si="2"/>
        <v>9.9999999999999995E-7</v>
      </c>
      <c r="L26" s="16">
        <f t="array" ref="L26">(IF(COUNT(M26,O26)&lt;1,SUM(M26,O26),SUM(LARGE((M26,O26),{1}))))+(IF(COUNT(N26,P26)&lt;1,SUM(N26,P26),SUM(LARGE((N26,P26),{1}))))+Q26</f>
        <v>26</v>
      </c>
      <c r="M26" s="226">
        <v>26</v>
      </c>
      <c r="N26" s="1248" t="s">
        <v>313</v>
      </c>
      <c r="O26" s="1248" t="s">
        <v>313</v>
      </c>
      <c r="P26" s="261"/>
      <c r="Q26" s="226"/>
      <c r="R26" s="262">
        <f t="shared" si="3"/>
        <v>1</v>
      </c>
      <c r="S26" s="262">
        <f t="shared" si="4"/>
        <v>0</v>
      </c>
      <c r="T26" s="262">
        <f t="shared" si="5"/>
        <v>0</v>
      </c>
    </row>
    <row r="27" spans="1:20" ht="12.75" customHeight="1" x14ac:dyDescent="0.2">
      <c r="A27" s="40">
        <f t="shared" si="0"/>
        <v>21</v>
      </c>
      <c r="B27" s="1297">
        <v>21</v>
      </c>
      <c r="C27" s="1002">
        <v>18</v>
      </c>
      <c r="D27" s="611"/>
      <c r="E27" s="613">
        <v>2</v>
      </c>
      <c r="F27" s="227">
        <v>4</v>
      </c>
      <c r="G27" s="1287" t="s">
        <v>414</v>
      </c>
      <c r="H27" s="1295">
        <v>24</v>
      </c>
      <c r="I27" s="16">
        <f t="shared" si="6"/>
        <v>24</v>
      </c>
      <c r="J27" s="270">
        <f t="shared" si="1"/>
        <v>0</v>
      </c>
      <c r="K27" s="639">
        <f t="shared" si="2"/>
        <v>9.9999999999999995E-8</v>
      </c>
      <c r="L27" s="16">
        <f t="array" ref="L27">(IF(COUNT(M27,O27)&lt;1,SUM(M27,O27),SUM(LARGE((M27,O27),{1}))))+(IF(COUNT(N27,P27)&lt;1,SUM(N27,P27),SUM(LARGE((N27,P27),{1}))))+Q27</f>
        <v>24</v>
      </c>
      <c r="M27" s="1248" t="s">
        <v>313</v>
      </c>
      <c r="N27" s="226">
        <v>24</v>
      </c>
      <c r="O27" s="261"/>
      <c r="P27" s="1248" t="s">
        <v>313</v>
      </c>
      <c r="Q27" s="226"/>
      <c r="R27" s="262">
        <f t="shared" si="3"/>
        <v>1</v>
      </c>
      <c r="S27" s="262">
        <f t="shared" si="4"/>
        <v>0</v>
      </c>
      <c r="T27" s="262">
        <f t="shared" si="5"/>
        <v>0</v>
      </c>
    </row>
    <row r="28" spans="1:20" ht="12.75" customHeight="1" x14ac:dyDescent="0.2">
      <c r="A28" s="40">
        <f t="shared" si="0"/>
        <v>21</v>
      </c>
      <c r="B28" s="1297">
        <v>21</v>
      </c>
      <c r="C28" s="1002"/>
      <c r="D28" s="611">
        <v>4</v>
      </c>
      <c r="E28" s="613"/>
      <c r="F28" s="227"/>
      <c r="G28" s="500" t="s">
        <v>504</v>
      </c>
      <c r="H28" s="1295">
        <v>24</v>
      </c>
      <c r="I28" s="16">
        <f t="shared" si="6"/>
        <v>24</v>
      </c>
      <c r="J28" s="270">
        <f t="shared" si="1"/>
        <v>0</v>
      </c>
      <c r="K28" s="639">
        <f t="shared" si="2"/>
        <v>9.9999999999999995E-8</v>
      </c>
      <c r="L28" s="16">
        <f t="array" ref="L28">(IF(COUNT(M28,O28)&lt;1,SUM(M28,O28),SUM(LARGE((M28,O28),{1}))))+(IF(COUNT(N28,P28)&lt;1,SUM(N28,P28),SUM(LARGE((N28,P28),{1}))))+Q28</f>
        <v>24</v>
      </c>
      <c r="M28" s="1248" t="s">
        <v>313</v>
      </c>
      <c r="N28" s="1248" t="s">
        <v>313</v>
      </c>
      <c r="O28" s="226"/>
      <c r="P28" s="261">
        <v>24</v>
      </c>
      <c r="Q28" s="226"/>
      <c r="R28" s="262">
        <f t="shared" si="3"/>
        <v>1</v>
      </c>
      <c r="S28" s="262">
        <f t="shared" si="4"/>
        <v>0</v>
      </c>
      <c r="T28" s="262">
        <f t="shared" si="5"/>
        <v>0</v>
      </c>
    </row>
    <row r="29" spans="1:20" x14ac:dyDescent="0.2">
      <c r="A29" s="263"/>
      <c r="B29" s="263">
        <f>COUNT(B7:B28)</f>
        <v>22</v>
      </c>
      <c r="C29" s="1003">
        <f>COUNT(C7:C28)</f>
        <v>18</v>
      </c>
      <c r="D29" s="986">
        <f>COUNT(D7:D28)</f>
        <v>4</v>
      </c>
      <c r="E29" s="987">
        <f>COUNT(E7:E28)</f>
        <v>2</v>
      </c>
      <c r="F29" s="263">
        <f>COUNT(F7:F28)</f>
        <v>4</v>
      </c>
      <c r="G29" s="264" t="s">
        <v>74</v>
      </c>
      <c r="H29" s="265"/>
      <c r="I29" s="265"/>
      <c r="J29" s="265"/>
      <c r="K29" s="265"/>
      <c r="L29" s="265"/>
      <c r="M29" s="266">
        <f>COUNTIF(M7:M28,"&gt;=0")</f>
        <v>12</v>
      </c>
      <c r="N29" s="266">
        <f>COUNTIF(N7:N28,"&gt;=0")</f>
        <v>15</v>
      </c>
      <c r="O29" s="266">
        <f>COUNTIF(O7:O28,"&gt;=0")</f>
        <v>17</v>
      </c>
      <c r="P29" s="266">
        <f>COUNTIF(P7:P28,"&gt;=0")</f>
        <v>16</v>
      </c>
      <c r="Q29" s="266">
        <f>COUNTIF(Q7:Q28,"&gt;=0")</f>
        <v>13</v>
      </c>
      <c r="R29" s="264"/>
      <c r="S29" s="267">
        <f>SUM(S7:S28)</f>
        <v>34</v>
      </c>
      <c r="T29" s="267">
        <f>SUM(T7:T28)</f>
        <v>11</v>
      </c>
    </row>
    <row r="30" spans="1:20" x14ac:dyDescent="0.2">
      <c r="A30" s="252"/>
      <c r="B30" s="252"/>
      <c r="C30" s="252"/>
      <c r="D30" s="252"/>
      <c r="E30" s="268"/>
      <c r="F30" s="268"/>
      <c r="G30" s="264" t="s">
        <v>75</v>
      </c>
      <c r="H30" s="265"/>
      <c r="I30" s="265"/>
      <c r="J30" s="265"/>
      <c r="K30" s="265"/>
      <c r="L30" s="265"/>
      <c r="M30" s="421">
        <f>IF((M29/(LEN(M6)-LEN(SUBSTITUTE(M6,"*","")))-0.5)&lt;0,"",M29/(LEN(M6)-LEN(SUBSTITUTE(M6,"*","")))-0.5)</f>
        <v>5.5</v>
      </c>
      <c r="N30" s="421">
        <f>IF((N29/(LEN(N6)-LEN(SUBSTITUTE(N6,"*","")))-0.5)&lt;0,"",N29/(LEN(N6)-LEN(SUBSTITUTE(N6,"*","")))-0.5)</f>
        <v>4.5</v>
      </c>
      <c r="O30" s="421">
        <f>IF((O29/(LEN(O6)-LEN(SUBSTITUTE(O6,"*","")))-0.5)&lt;0,"",O29/(LEN(O6)-LEN(SUBSTITUTE(O6,"*","")))-0.5)</f>
        <v>8</v>
      </c>
      <c r="P30" s="421">
        <f>IF((P29/(LEN(P6)-LEN(SUBSTITUTE(P6,"*","")))-0.5)&lt;0,"",P29/(LEN(P6)-LEN(SUBSTITUTE(P6,"*","")))-0.5)</f>
        <v>4.833333333333333</v>
      </c>
      <c r="Q30" s="268"/>
      <c r="R30" s="252"/>
      <c r="S30" s="252"/>
      <c r="T30" s="252"/>
    </row>
    <row r="32" spans="1:20" x14ac:dyDescent="0.2">
      <c r="A32" s="250" t="s">
        <v>136</v>
      </c>
      <c r="E32" s="250"/>
      <c r="F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1:17" x14ac:dyDescent="0.2">
      <c r="A33" s="250" t="s">
        <v>137</v>
      </c>
      <c r="E33" s="250"/>
      <c r="F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</sheetData>
  <autoFilter ref="R6:T6"/>
  <mergeCells count="3">
    <mergeCell ref="R4:R5"/>
    <mergeCell ref="S4:S5"/>
    <mergeCell ref="T4:T5"/>
  </mergeCells>
  <conditionalFormatting sqref="M29:Q29">
    <cfRule type="top10" dxfId="65" priority="12" stopIfTrue="1" rank="1"/>
  </conditionalFormatting>
  <conditionalFormatting sqref="M7:Q28">
    <cfRule type="cellIs" dxfId="64" priority="7" stopIfTrue="1" operator="equal">
      <formula>30</formula>
    </cfRule>
    <cfRule type="cellIs" dxfId="63" priority="8" stopIfTrue="1" operator="equal">
      <formula>34</formula>
    </cfRule>
    <cfRule type="cellIs" dxfId="62" priority="9" stopIfTrue="1" operator="equal">
      <formula>40</formula>
    </cfRule>
  </conditionalFormatting>
  <conditionalFormatting sqref="G20">
    <cfRule type="duplicateValues" dxfId="61" priority="3" stopIfTrue="1"/>
  </conditionalFormatting>
  <conditionalFormatting sqref="G21">
    <cfRule type="duplicateValues" dxfId="60" priority="2" stopIfTrue="1"/>
  </conditionalFormatting>
  <conditionalFormatting sqref="G22">
    <cfRule type="duplicateValues" dxfId="59" priority="1" stopIfTrue="1"/>
  </conditionalFormatting>
  <conditionalFormatting sqref="G23:G28 G7:G19">
    <cfRule type="duplicateValues" dxfId="58" priority="129" stopIfTrue="1"/>
  </conditionalFormatting>
  <conditionalFormatting sqref="A7:A28">
    <cfRule type="duplicateValues" dxfId="57" priority="141" stopIfTrue="1"/>
  </conditionalFormatting>
  <conditionalFormatting sqref="S7:S28">
    <cfRule type="top10" dxfId="56" priority="142" stopIfTrue="1" rank="1"/>
  </conditionalFormatting>
  <conditionalFormatting sqref="T7:T28">
    <cfRule type="top10" dxfId="55" priority="143" stopIfTrue="1" rank="1"/>
  </conditionalFormatting>
  <conditionalFormatting sqref="R7:R28">
    <cfRule type="top10" dxfId="54" priority="144" stopIfTrue="1" rank="1"/>
  </conditionalFormatting>
  <conditionalFormatting sqref="Q7:Q28">
    <cfRule type="duplicateValues" dxfId="53" priority="145" stopIfTrue="1"/>
  </conditionalFormatting>
  <conditionalFormatting sqref="I7:I28">
    <cfRule type="duplicateValues" dxfId="52" priority="146" stopIfTrue="1"/>
  </conditionalFormatting>
  <pageMargins left="0.78740157480314965" right="0.39370078740157483" top="0.78740157480314965" bottom="0.39370078740157483" header="0.59055118110236227" footer="0"/>
  <pageSetup paperSize="9" scale="97" fitToHeight="0" orientation="portrait" useFirstPageNumber="1" verticalDpi="300" r:id="rId1"/>
  <headerFooter alignWithMargins="0">
    <oddHeader>&amp;R&amp;"Arial,Regular"&amp;9Page &amp;P of &amp;N</oddHead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J34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34.140625" style="12" bestFit="1" customWidth="1"/>
    <col min="3" max="10" width="6.7109375" style="12" customWidth="1"/>
    <col min="11" max="17" width="9.140625" style="12" customWidth="1"/>
    <col min="18" max="16384" width="9.140625" style="12"/>
  </cols>
  <sheetData>
    <row r="1" spans="1:10" x14ac:dyDescent="0.2">
      <c r="A1" s="11" t="str">
        <f>UPPER((Kalend!E10)&amp;" - "&amp;(Kalend!C10)&amp;" - "&amp;(Kalend!D10))</f>
        <v>M1 - MÄETAGUSE 7. KV 1. ETAPP - DUO</v>
      </c>
      <c r="F1" s="297" t="str">
        <f>HYPERLINK("#Kalend!I1","Kalender")</f>
        <v>Kalender</v>
      </c>
      <c r="G1" s="478"/>
      <c r="H1" s="297" t="str">
        <f>HYPERLINK("#Reit!G1","Reiting")</f>
        <v>Reiting</v>
      </c>
      <c r="I1" s="478"/>
      <c r="J1" s="478"/>
    </row>
    <row r="2" spans="1:10" x14ac:dyDescent="0.2">
      <c r="A2" s="9" t="str">
        <f>"Toimumisaeg: "&amp;(Kalend!A10)&amp;" kell "&amp;(Kalend!B10)</f>
        <v>Toimumisaeg: T, 17.05.2016 kell 18:00</v>
      </c>
    </row>
    <row r="3" spans="1:10" x14ac:dyDescent="0.2">
      <c r="A3" s="9" t="str">
        <f>"Toimumiskoht: "&amp;(Kalend!F10)</f>
        <v>Toimumiskoht: Mäetaguse staadion</v>
      </c>
    </row>
    <row r="4" spans="1:10" x14ac:dyDescent="0.2">
      <c r="A4" s="9" t="str">
        <f>"Korraldaja: "&amp;(Kalend!G10)</f>
        <v>Korraldaja: Mäetaguse SK, Taavi Toomel</v>
      </c>
    </row>
    <row r="5" spans="1:10" x14ac:dyDescent="0.2">
      <c r="A5" s="414"/>
    </row>
    <row r="6" spans="1:10" x14ac:dyDescent="0.2">
      <c r="A6" s="534" t="s">
        <v>435</v>
      </c>
    </row>
    <row r="7" spans="1:10" s="463" customFormat="1" x14ac:dyDescent="0.2">
      <c r="A7" s="462"/>
      <c r="C7" s="464"/>
      <c r="D7" s="464"/>
      <c r="E7" s="464"/>
      <c r="F7" s="464"/>
      <c r="G7" s="464"/>
      <c r="H7" s="464"/>
      <c r="I7" s="465"/>
      <c r="J7" s="464"/>
    </row>
    <row r="8" spans="1:10" s="463" customFormat="1" x14ac:dyDescent="0.2">
      <c r="A8" s="466"/>
      <c r="B8" s="466"/>
      <c r="C8" s="367">
        <v>1</v>
      </c>
      <c r="D8" s="367">
        <v>2</v>
      </c>
      <c r="E8" s="367">
        <v>3</v>
      </c>
      <c r="F8" s="367">
        <v>4</v>
      </c>
      <c r="G8" s="367">
        <v>5</v>
      </c>
      <c r="H8" s="367">
        <v>6</v>
      </c>
      <c r="I8" s="367" t="s">
        <v>235</v>
      </c>
      <c r="J8" s="367" t="s">
        <v>86</v>
      </c>
    </row>
    <row r="9" spans="1:10" s="463" customFormat="1" x14ac:dyDescent="0.2">
      <c r="A9" s="466">
        <v>1</v>
      </c>
      <c r="B9" s="467" t="s">
        <v>302</v>
      </c>
      <c r="C9" s="468"/>
      <c r="D9" s="367">
        <v>13</v>
      </c>
      <c r="E9" s="367">
        <v>13</v>
      </c>
      <c r="F9" s="338">
        <v>4</v>
      </c>
      <c r="G9" s="367">
        <v>13</v>
      </c>
      <c r="H9" s="367">
        <v>11</v>
      </c>
      <c r="I9" s="469" t="s">
        <v>330</v>
      </c>
      <c r="J9" s="338" t="s">
        <v>259</v>
      </c>
    </row>
    <row r="10" spans="1:10" s="463" customFormat="1" x14ac:dyDescent="0.2">
      <c r="A10" s="466">
        <v>2</v>
      </c>
      <c r="B10" s="467" t="s">
        <v>298</v>
      </c>
      <c r="C10" s="338">
        <v>6</v>
      </c>
      <c r="D10" s="468"/>
      <c r="E10" s="367">
        <v>9</v>
      </c>
      <c r="F10" s="338">
        <v>8</v>
      </c>
      <c r="G10" s="367">
        <v>8</v>
      </c>
      <c r="H10" s="338">
        <v>8</v>
      </c>
      <c r="I10" s="469" t="s">
        <v>238</v>
      </c>
      <c r="J10" s="338" t="s">
        <v>328</v>
      </c>
    </row>
    <row r="11" spans="1:10" s="463" customFormat="1" x14ac:dyDescent="0.2">
      <c r="A11" s="466">
        <v>3</v>
      </c>
      <c r="B11" s="467" t="s">
        <v>327</v>
      </c>
      <c r="C11" s="338">
        <v>3</v>
      </c>
      <c r="D11" s="338">
        <v>8</v>
      </c>
      <c r="E11" s="468"/>
      <c r="F11" s="504">
        <v>12</v>
      </c>
      <c r="G11" s="367">
        <v>12</v>
      </c>
      <c r="H11" s="504">
        <v>6</v>
      </c>
      <c r="I11" s="480" t="s">
        <v>331</v>
      </c>
      <c r="J11" s="338" t="s">
        <v>146</v>
      </c>
    </row>
    <row r="12" spans="1:10" s="462" customFormat="1" x14ac:dyDescent="0.2">
      <c r="A12" s="466">
        <v>4</v>
      </c>
      <c r="B12" s="467" t="s">
        <v>306</v>
      </c>
      <c r="C12" s="367">
        <v>13</v>
      </c>
      <c r="D12" s="367">
        <v>13</v>
      </c>
      <c r="E12" s="503">
        <v>5</v>
      </c>
      <c r="F12" s="468"/>
      <c r="G12" s="367">
        <v>10</v>
      </c>
      <c r="H12" s="503">
        <v>9</v>
      </c>
      <c r="I12" s="480" t="s">
        <v>331</v>
      </c>
      <c r="J12" s="338" t="s">
        <v>261</v>
      </c>
    </row>
    <row r="13" spans="1:10" s="462" customFormat="1" x14ac:dyDescent="0.2">
      <c r="A13" s="466">
        <v>5</v>
      </c>
      <c r="B13" s="467" t="s">
        <v>325</v>
      </c>
      <c r="C13" s="338">
        <v>2</v>
      </c>
      <c r="D13" s="338">
        <v>4</v>
      </c>
      <c r="E13" s="338">
        <v>6</v>
      </c>
      <c r="F13" s="470">
        <v>8</v>
      </c>
      <c r="G13" s="468"/>
      <c r="H13" s="338">
        <v>5</v>
      </c>
      <c r="I13" s="469" t="s">
        <v>332</v>
      </c>
      <c r="J13" s="338" t="s">
        <v>329</v>
      </c>
    </row>
    <row r="14" spans="1:10" s="463" customFormat="1" x14ac:dyDescent="0.2">
      <c r="A14" s="466">
        <v>6</v>
      </c>
      <c r="B14" s="467" t="s">
        <v>326</v>
      </c>
      <c r="C14" s="338">
        <v>8</v>
      </c>
      <c r="D14" s="367">
        <v>9</v>
      </c>
      <c r="E14" s="503">
        <v>5</v>
      </c>
      <c r="F14" s="504">
        <v>10</v>
      </c>
      <c r="G14" s="477">
        <v>12</v>
      </c>
      <c r="H14" s="468"/>
      <c r="I14" s="480" t="s">
        <v>331</v>
      </c>
      <c r="J14" s="338" t="s">
        <v>260</v>
      </c>
    </row>
    <row r="15" spans="1:10" s="463" customFormat="1" x14ac:dyDescent="0.2">
      <c r="A15" s="462"/>
      <c r="C15" s="464"/>
      <c r="D15" s="464"/>
      <c r="E15" s="464"/>
      <c r="F15" s="464"/>
      <c r="G15" s="464"/>
      <c r="H15" s="464"/>
      <c r="I15" s="465"/>
      <c r="J15" s="464"/>
    </row>
    <row r="16" spans="1:10" s="474" customFormat="1" x14ac:dyDescent="0.2">
      <c r="A16" s="471"/>
      <c r="B16" s="339" t="s">
        <v>236</v>
      </c>
      <c r="C16" s="340" t="s">
        <v>314</v>
      </c>
      <c r="D16" s="340" t="s">
        <v>315</v>
      </c>
      <c r="E16" s="340" t="s">
        <v>244</v>
      </c>
      <c r="F16" s="472"/>
      <c r="G16" s="473"/>
      <c r="H16" s="473"/>
      <c r="I16" s="340"/>
      <c r="J16" s="472"/>
    </row>
    <row r="17" spans="1:10" s="474" customFormat="1" x14ac:dyDescent="0.2">
      <c r="A17" s="471"/>
      <c r="B17" s="339" t="s">
        <v>239</v>
      </c>
      <c r="C17" s="340" t="s">
        <v>243</v>
      </c>
      <c r="D17" s="340" t="s">
        <v>323</v>
      </c>
      <c r="E17" s="340" t="s">
        <v>324</v>
      </c>
      <c r="I17" s="340"/>
      <c r="J17" s="472"/>
    </row>
    <row r="18" spans="1:10" s="474" customFormat="1" x14ac:dyDescent="0.2">
      <c r="A18" s="471"/>
      <c r="B18" s="339" t="s">
        <v>242</v>
      </c>
      <c r="C18" s="340" t="s">
        <v>240</v>
      </c>
      <c r="D18" s="340" t="s">
        <v>320</v>
      </c>
      <c r="E18" s="340" t="s">
        <v>321</v>
      </c>
      <c r="I18" s="340"/>
      <c r="J18" s="475"/>
    </row>
    <row r="19" spans="1:10" s="474" customFormat="1" x14ac:dyDescent="0.2">
      <c r="A19" s="471"/>
      <c r="B19" s="339" t="s">
        <v>319</v>
      </c>
      <c r="C19" s="340" t="s">
        <v>237</v>
      </c>
      <c r="D19" s="340" t="s">
        <v>238</v>
      </c>
      <c r="E19" s="340" t="s">
        <v>318</v>
      </c>
      <c r="G19" s="473"/>
      <c r="H19" s="473"/>
      <c r="I19" s="340"/>
      <c r="J19" s="472"/>
    </row>
    <row r="20" spans="1:10" s="474" customFormat="1" x14ac:dyDescent="0.2">
      <c r="A20" s="471"/>
      <c r="B20" s="339" t="s">
        <v>322</v>
      </c>
      <c r="C20" s="340" t="s">
        <v>316</v>
      </c>
      <c r="D20" s="340" t="s">
        <v>241</v>
      </c>
      <c r="E20" s="340" t="s">
        <v>317</v>
      </c>
      <c r="I20" s="340"/>
      <c r="J20" s="472"/>
    </row>
    <row r="21" spans="1:10" s="474" customFormat="1" x14ac:dyDescent="0.2">
      <c r="A21" s="471"/>
      <c r="B21" s="339"/>
      <c r="C21" s="340"/>
      <c r="D21" s="340"/>
      <c r="E21" s="340"/>
      <c r="I21" s="340"/>
      <c r="J21" s="472"/>
    </row>
    <row r="22" spans="1:10" s="474" customFormat="1" x14ac:dyDescent="0.2">
      <c r="A22" s="479" t="s">
        <v>338</v>
      </c>
      <c r="B22" s="339"/>
      <c r="C22" s="340"/>
      <c r="D22" s="340"/>
      <c r="E22" s="340"/>
      <c r="I22" s="340"/>
      <c r="J22" s="472"/>
    </row>
    <row r="23" spans="1:10" s="474" customFormat="1" x14ac:dyDescent="0.2">
      <c r="A23" s="481"/>
      <c r="B23" s="481"/>
      <c r="C23" s="482">
        <v>3</v>
      </c>
      <c r="D23" s="482">
        <v>4</v>
      </c>
      <c r="E23" s="482">
        <v>6</v>
      </c>
      <c r="F23" s="367" t="s">
        <v>235</v>
      </c>
      <c r="I23" s="340"/>
      <c r="J23" s="472"/>
    </row>
    <row r="24" spans="1:10" s="474" customFormat="1" x14ac:dyDescent="0.2">
      <c r="A24" s="481">
        <v>3</v>
      </c>
      <c r="B24" s="483" t="s">
        <v>327</v>
      </c>
      <c r="C24" s="484"/>
      <c r="D24" s="482">
        <v>12</v>
      </c>
      <c r="E24" s="482">
        <v>6</v>
      </c>
      <c r="F24" s="469" t="s">
        <v>333</v>
      </c>
      <c r="G24" s="495" t="s">
        <v>336</v>
      </c>
      <c r="I24" s="340"/>
      <c r="J24" s="472"/>
    </row>
    <row r="25" spans="1:10" s="474" customFormat="1" x14ac:dyDescent="0.2">
      <c r="A25" s="481">
        <v>4</v>
      </c>
      <c r="B25" s="483" t="s">
        <v>306</v>
      </c>
      <c r="C25" s="485">
        <v>5</v>
      </c>
      <c r="D25" s="484"/>
      <c r="E25" s="485">
        <v>9</v>
      </c>
      <c r="F25" s="469" t="s">
        <v>334</v>
      </c>
      <c r="G25" s="495" t="s">
        <v>151</v>
      </c>
      <c r="I25" s="340"/>
      <c r="J25" s="472"/>
    </row>
    <row r="26" spans="1:10" s="474" customFormat="1" x14ac:dyDescent="0.2">
      <c r="A26" s="481">
        <v>6</v>
      </c>
      <c r="B26" s="483" t="s">
        <v>326</v>
      </c>
      <c r="C26" s="485">
        <v>5</v>
      </c>
      <c r="D26" s="482">
        <v>10</v>
      </c>
      <c r="E26" s="484"/>
      <c r="F26" s="486" t="s">
        <v>335</v>
      </c>
      <c r="G26" s="495" t="s">
        <v>337</v>
      </c>
    </row>
    <row r="27" spans="1:10" s="474" customFormat="1" x14ac:dyDescent="0.2">
      <c r="A27" s="488"/>
      <c r="B27" s="489"/>
      <c r="C27" s="490"/>
      <c r="D27" s="491"/>
      <c r="E27" s="494"/>
      <c r="F27" s="492"/>
      <c r="G27" s="493"/>
    </row>
    <row r="28" spans="1:10" s="474" customFormat="1" x14ac:dyDescent="0.2"/>
    <row r="29" spans="1:10" x14ac:dyDescent="0.2">
      <c r="A29" s="30">
        <v>1</v>
      </c>
      <c r="B29" s="487" t="s">
        <v>302</v>
      </c>
    </row>
    <row r="30" spans="1:10" x14ac:dyDescent="0.2">
      <c r="A30" s="30">
        <v>2</v>
      </c>
      <c r="B30" s="497" t="s">
        <v>327</v>
      </c>
    </row>
    <row r="31" spans="1:10" x14ac:dyDescent="0.2">
      <c r="A31" s="30">
        <v>3</v>
      </c>
      <c r="B31" s="498" t="s">
        <v>326</v>
      </c>
    </row>
    <row r="32" spans="1:10" x14ac:dyDescent="0.2">
      <c r="A32" s="30">
        <v>4</v>
      </c>
      <c r="B32" s="499" t="s">
        <v>306</v>
      </c>
    </row>
    <row r="33" spans="1:2" x14ac:dyDescent="0.2">
      <c r="A33" s="30">
        <v>5</v>
      </c>
      <c r="B33" s="467" t="s">
        <v>298</v>
      </c>
    </row>
    <row r="34" spans="1:2" x14ac:dyDescent="0.2">
      <c r="A34" s="30">
        <v>6</v>
      </c>
      <c r="B34" s="467" t="s">
        <v>325</v>
      </c>
    </row>
  </sheetData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M3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.28515625" style="12" customWidth="1"/>
    <col min="2" max="2" width="42.140625" style="12" bestFit="1" customWidth="1"/>
    <col min="3" max="7" width="7.28515625" style="12" customWidth="1"/>
    <col min="8" max="9" width="6.7109375" style="12" customWidth="1"/>
    <col min="10" max="16384" width="9.140625" style="12"/>
  </cols>
  <sheetData>
    <row r="1" spans="1:13" x14ac:dyDescent="0.2">
      <c r="A1" s="11" t="str">
        <f>UPPER((Kalend!E17)&amp;" - "&amp;(Kalend!C17)&amp;" - "&amp;(Kalend!D17))</f>
        <v>M2 - MÄETAGUSE 7. KV 2. ETAPP - TRIO</v>
      </c>
      <c r="E1" s="297" t="str">
        <f>HYPERLINK("#Kalend!I1","Kalender")</f>
        <v>Kalender</v>
      </c>
      <c r="F1" s="478"/>
      <c r="G1" s="297" t="str">
        <f>HYPERLINK("#Reit!G1","Reiting")</f>
        <v>Reiting</v>
      </c>
      <c r="H1" s="478"/>
      <c r="I1" s="478"/>
      <c r="M1"/>
    </row>
    <row r="2" spans="1:13" x14ac:dyDescent="0.2">
      <c r="A2" s="9" t="str">
        <f>"Toimumisaeg: "&amp;(Kalend!A17)&amp;" kell "&amp;(Kalend!B17)</f>
        <v>Toimumisaeg: T, 14.06.2016 kell 18:00</v>
      </c>
    </row>
    <row r="3" spans="1:13" x14ac:dyDescent="0.2">
      <c r="A3" s="9" t="str">
        <f>"Toimumiskoht: "&amp;(Kalend!F17)</f>
        <v>Toimumiskoht: Mäetaguse staadion</v>
      </c>
    </row>
    <row r="4" spans="1:13" x14ac:dyDescent="0.2">
      <c r="A4" s="9" t="str">
        <f>"Korraldaja: "&amp;(Kalend!G17)</f>
        <v>Korraldaja: Mäetaguse SK, Taavi Toomel</v>
      </c>
    </row>
    <row r="5" spans="1:13" s="945" customFormat="1" x14ac:dyDescent="0.2">
      <c r="A5" s="478"/>
    </row>
    <row r="6" spans="1:13" s="945" customFormat="1" x14ac:dyDescent="0.2">
      <c r="A6" s="534" t="s">
        <v>634</v>
      </c>
    </row>
    <row r="8" spans="1:13" x14ac:dyDescent="0.2">
      <c r="A8" s="466"/>
      <c r="B8" s="466"/>
      <c r="C8" s="367">
        <v>1</v>
      </c>
      <c r="D8" s="367">
        <v>2</v>
      </c>
      <c r="E8" s="367">
        <v>3</v>
      </c>
      <c r="F8" s="367">
        <v>4</v>
      </c>
      <c r="G8" s="367">
        <v>5</v>
      </c>
      <c r="H8" s="367" t="s">
        <v>235</v>
      </c>
      <c r="I8" s="367" t="s">
        <v>86</v>
      </c>
    </row>
    <row r="9" spans="1:13" x14ac:dyDescent="0.2">
      <c r="A9" s="466">
        <v>1</v>
      </c>
      <c r="B9" s="467" t="s">
        <v>409</v>
      </c>
      <c r="C9" s="468"/>
      <c r="D9" s="504">
        <v>13</v>
      </c>
      <c r="E9" s="367">
        <v>13</v>
      </c>
      <c r="F9" s="338">
        <v>8</v>
      </c>
      <c r="G9" s="503">
        <v>12</v>
      </c>
      <c r="H9" s="480" t="s">
        <v>412</v>
      </c>
      <c r="I9" s="338" t="s">
        <v>260</v>
      </c>
    </row>
    <row r="10" spans="1:13" x14ac:dyDescent="0.2">
      <c r="A10" s="466">
        <v>2</v>
      </c>
      <c r="B10" s="467" t="s">
        <v>410</v>
      </c>
      <c r="C10" s="503">
        <v>9</v>
      </c>
      <c r="D10" s="468"/>
      <c r="E10" s="477">
        <v>13</v>
      </c>
      <c r="F10" s="477">
        <v>13</v>
      </c>
      <c r="G10" s="503">
        <v>8</v>
      </c>
      <c r="H10" s="480" t="s">
        <v>412</v>
      </c>
      <c r="I10" s="470" t="s">
        <v>261</v>
      </c>
    </row>
    <row r="11" spans="1:13" x14ac:dyDescent="0.2">
      <c r="A11" s="466">
        <v>3</v>
      </c>
      <c r="B11" s="467" t="s">
        <v>411</v>
      </c>
      <c r="C11" s="338">
        <v>7</v>
      </c>
      <c r="D11" s="338">
        <v>11</v>
      </c>
      <c r="E11" s="468"/>
      <c r="F11" s="470">
        <v>12</v>
      </c>
      <c r="G11" s="477">
        <v>13</v>
      </c>
      <c r="H11" s="486" t="s">
        <v>240</v>
      </c>
      <c r="I11" s="470" t="s">
        <v>328</v>
      </c>
    </row>
    <row r="12" spans="1:13" x14ac:dyDescent="0.2">
      <c r="A12" s="466">
        <v>4</v>
      </c>
      <c r="B12" s="467" t="s">
        <v>397</v>
      </c>
      <c r="C12" s="367">
        <v>13</v>
      </c>
      <c r="D12" s="338">
        <v>2</v>
      </c>
      <c r="E12" s="477">
        <v>13</v>
      </c>
      <c r="F12" s="468"/>
      <c r="G12" s="477">
        <v>13</v>
      </c>
      <c r="H12" s="486" t="s">
        <v>413</v>
      </c>
      <c r="I12" s="470" t="s">
        <v>259</v>
      </c>
    </row>
    <row r="13" spans="1:13" x14ac:dyDescent="0.2">
      <c r="A13" s="466">
        <v>5</v>
      </c>
      <c r="B13" s="467" t="s">
        <v>398</v>
      </c>
      <c r="C13" s="504">
        <v>13</v>
      </c>
      <c r="D13" s="504">
        <v>13</v>
      </c>
      <c r="E13" s="470">
        <v>11</v>
      </c>
      <c r="F13" s="470">
        <v>11</v>
      </c>
      <c r="G13" s="468"/>
      <c r="H13" s="480" t="s">
        <v>412</v>
      </c>
      <c r="I13" s="470" t="s">
        <v>146</v>
      </c>
    </row>
    <row r="14" spans="1:13" x14ac:dyDescent="0.2">
      <c r="A14" s="462"/>
      <c r="B14" s="463"/>
      <c r="C14" s="464"/>
      <c r="D14" s="464"/>
      <c r="E14" s="635"/>
      <c r="F14" s="635"/>
      <c r="G14" s="635"/>
      <c r="H14" s="636"/>
      <c r="I14" s="635"/>
    </row>
    <row r="15" spans="1:13" x14ac:dyDescent="0.2">
      <c r="A15" s="471"/>
      <c r="B15" s="339" t="s">
        <v>236</v>
      </c>
      <c r="C15" s="340" t="s">
        <v>316</v>
      </c>
      <c r="D15" s="340" t="s">
        <v>241</v>
      </c>
      <c r="H15" s="340"/>
      <c r="I15" s="472"/>
    </row>
    <row r="16" spans="1:13" x14ac:dyDescent="0.2">
      <c r="A16" s="471"/>
      <c r="B16" s="339" t="s">
        <v>239</v>
      </c>
      <c r="C16" s="637" t="s">
        <v>243</v>
      </c>
      <c r="D16" s="340" t="s">
        <v>244</v>
      </c>
      <c r="E16" s="340"/>
      <c r="H16" s="340"/>
      <c r="I16" s="472"/>
    </row>
    <row r="17" spans="1:9" x14ac:dyDescent="0.2">
      <c r="A17" s="471"/>
      <c r="B17" s="339" t="s">
        <v>242</v>
      </c>
      <c r="C17" s="340" t="s">
        <v>240</v>
      </c>
      <c r="D17" s="340" t="s">
        <v>315</v>
      </c>
      <c r="H17" s="340"/>
      <c r="I17" s="475"/>
    </row>
    <row r="18" spans="1:9" x14ac:dyDescent="0.2">
      <c r="A18" s="471"/>
      <c r="B18" s="339" t="s">
        <v>319</v>
      </c>
      <c r="C18" s="340" t="s">
        <v>237</v>
      </c>
      <c r="D18" s="340" t="s">
        <v>323</v>
      </c>
      <c r="E18" s="340"/>
      <c r="H18" s="340"/>
      <c r="I18" s="472"/>
    </row>
    <row r="19" spans="1:9" x14ac:dyDescent="0.2">
      <c r="A19" s="471"/>
      <c r="B19" s="339" t="s">
        <v>322</v>
      </c>
      <c r="C19" s="340" t="s">
        <v>238</v>
      </c>
      <c r="D19" s="340" t="s">
        <v>321</v>
      </c>
      <c r="E19" s="340"/>
      <c r="H19" s="340"/>
      <c r="I19" s="472"/>
    </row>
    <row r="20" spans="1:9" x14ac:dyDescent="0.2">
      <c r="A20" s="471"/>
      <c r="B20" s="339"/>
      <c r="C20" s="340"/>
      <c r="D20" s="340"/>
      <c r="E20" s="340"/>
      <c r="F20" s="474"/>
      <c r="G20" s="474"/>
      <c r="H20" s="340"/>
      <c r="I20" s="472"/>
    </row>
    <row r="21" spans="1:9" x14ac:dyDescent="0.2">
      <c r="A21" s="479" t="s">
        <v>338</v>
      </c>
      <c r="B21" s="339"/>
      <c r="C21" s="340"/>
      <c r="D21" s="340"/>
      <c r="E21" s="340"/>
      <c r="F21" s="474"/>
      <c r="G21" s="474"/>
      <c r="H21" s="340"/>
      <c r="I21" s="472"/>
    </row>
    <row r="22" spans="1:9" x14ac:dyDescent="0.2">
      <c r="A22" s="481"/>
      <c r="B22" s="481"/>
      <c r="C22" s="482">
        <v>1</v>
      </c>
      <c r="D22" s="482">
        <v>2</v>
      </c>
      <c r="E22" s="482">
        <v>5</v>
      </c>
      <c r="F22" s="367" t="s">
        <v>235</v>
      </c>
      <c r="G22" s="474"/>
      <c r="H22" s="340"/>
      <c r="I22" s="472"/>
    </row>
    <row r="23" spans="1:9" x14ac:dyDescent="0.2">
      <c r="A23" s="481">
        <v>1</v>
      </c>
      <c r="B23" s="483" t="s">
        <v>409</v>
      </c>
      <c r="C23" s="484"/>
      <c r="D23" s="482">
        <v>13</v>
      </c>
      <c r="E23" s="485">
        <v>12</v>
      </c>
      <c r="F23" s="469" t="s">
        <v>335</v>
      </c>
      <c r="G23" s="495" t="s">
        <v>337</v>
      </c>
      <c r="H23" s="340"/>
      <c r="I23" s="472"/>
    </row>
    <row r="24" spans="1:9" x14ac:dyDescent="0.2">
      <c r="A24" s="481">
        <v>2</v>
      </c>
      <c r="B24" s="483" t="s">
        <v>410</v>
      </c>
      <c r="C24" s="485">
        <v>9</v>
      </c>
      <c r="D24" s="484"/>
      <c r="E24" s="485">
        <v>8</v>
      </c>
      <c r="F24" s="469" t="s">
        <v>334</v>
      </c>
      <c r="G24" s="495" t="s">
        <v>151</v>
      </c>
      <c r="H24" s="340"/>
      <c r="I24" s="472"/>
    </row>
    <row r="25" spans="1:9" x14ac:dyDescent="0.2">
      <c r="A25" s="481">
        <v>5</v>
      </c>
      <c r="B25" s="483" t="s">
        <v>398</v>
      </c>
      <c r="C25" s="482">
        <v>13</v>
      </c>
      <c r="D25" s="482">
        <v>13</v>
      </c>
      <c r="E25" s="484"/>
      <c r="F25" s="486" t="s">
        <v>333</v>
      </c>
      <c r="G25" s="495" t="s">
        <v>336</v>
      </c>
      <c r="H25" s="474"/>
      <c r="I25" s="474"/>
    </row>
    <row r="28" spans="1:9" x14ac:dyDescent="0.2">
      <c r="A28" s="30">
        <v>1</v>
      </c>
      <c r="B28" s="32" t="s">
        <v>397</v>
      </c>
    </row>
    <row r="29" spans="1:9" x14ac:dyDescent="0.2">
      <c r="A29" s="30">
        <v>2</v>
      </c>
      <c r="B29" s="664" t="s">
        <v>398</v>
      </c>
    </row>
    <row r="30" spans="1:9" x14ac:dyDescent="0.2">
      <c r="A30" s="30">
        <v>3</v>
      </c>
      <c r="B30" s="203" t="s">
        <v>409</v>
      </c>
    </row>
    <row r="31" spans="1:9" x14ac:dyDescent="0.2">
      <c r="A31" s="30">
        <v>4</v>
      </c>
      <c r="B31" s="640" t="s">
        <v>410</v>
      </c>
    </row>
    <row r="32" spans="1:9" x14ac:dyDescent="0.2">
      <c r="A32" s="30">
        <v>5</v>
      </c>
      <c r="B32" s="467" t="s">
        <v>411</v>
      </c>
    </row>
  </sheetData>
  <pageMargins left="0.78740157480314965" right="0.39370078740157483" top="0.59055118110236227" bottom="0.39370078740157483" header="0.59055118110236227" footer="0"/>
  <pageSetup paperSize="9" fitToHeight="0" orientation="landscape" verticalDpi="180" r:id="rId1"/>
  <headerFooter>
    <oddHeader>&amp;R&amp;"Arial,Regular"&amp;9Page &amp;P of 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I7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31.140625" style="12" bestFit="1" customWidth="1"/>
    <col min="3" max="8" width="6.7109375" style="12" customWidth="1"/>
    <col min="9" max="9" width="8.28515625" style="12" customWidth="1"/>
    <col min="10" max="16384" width="9.140625" style="12"/>
  </cols>
  <sheetData>
    <row r="1" spans="1:9" x14ac:dyDescent="0.2">
      <c r="A1" s="11" t="str">
        <f>UPPER((Kalend!E21)&amp;" - "&amp;(Kalend!C21)&amp;" - "&amp;(Kalend!D21))</f>
        <v>M3 - MÄETAGUSE 7. KV 3. ETAPP - DUO</v>
      </c>
      <c r="F1" s="297" t="str">
        <f>HYPERLINK("#Kalend!I1","Kalender")</f>
        <v>Kalender</v>
      </c>
      <c r="G1" s="478"/>
      <c r="H1" s="297" t="str">
        <f>HYPERLINK("#Reit!G1","Reiting")</f>
        <v>Reiting</v>
      </c>
      <c r="I1" s="478"/>
    </row>
    <row r="2" spans="1:9" x14ac:dyDescent="0.2">
      <c r="A2" s="9" t="str">
        <f>"Toimumisaeg: "&amp;(Kalend!A21)&amp;" kell "&amp;(Kalend!B21)</f>
        <v>Toimumisaeg: T, 05.07.2016 kell 18:00</v>
      </c>
    </row>
    <row r="3" spans="1:9" x14ac:dyDescent="0.2">
      <c r="A3" s="9" t="str">
        <f>"Toimumiskoht: "&amp;(Kalend!F21)</f>
        <v>Toimumiskoht: Mäetaguse staadion</v>
      </c>
    </row>
    <row r="4" spans="1:9" x14ac:dyDescent="0.2">
      <c r="A4" s="9" t="str">
        <f>"Korraldaja: "&amp;(Kalend!G21)</f>
        <v>Korraldaja: Mäetaguse SK, Taavi Toomel</v>
      </c>
    </row>
    <row r="5" spans="1:9" x14ac:dyDescent="0.2">
      <c r="A5" s="478"/>
    </row>
    <row r="6" spans="1:9" x14ac:dyDescent="0.2">
      <c r="A6" s="534" t="s">
        <v>436</v>
      </c>
    </row>
    <row r="7" spans="1:9" x14ac:dyDescent="0.2">
      <c r="A7" s="478"/>
    </row>
    <row r="8" spans="1:9" x14ac:dyDescent="0.2">
      <c r="A8" s="30" t="s">
        <v>138</v>
      </c>
      <c r="B8" s="30"/>
      <c r="C8" s="381">
        <v>1</v>
      </c>
      <c r="D8" s="381">
        <v>2</v>
      </c>
      <c r="E8" s="381">
        <v>3</v>
      </c>
      <c r="F8" s="381">
        <v>4</v>
      </c>
      <c r="G8" s="477" t="s">
        <v>235</v>
      </c>
      <c r="H8" s="477" t="s">
        <v>86</v>
      </c>
    </row>
    <row r="9" spans="1:9" x14ac:dyDescent="0.2">
      <c r="A9" s="30">
        <v>1</v>
      </c>
      <c r="B9" s="670" t="s">
        <v>397</v>
      </c>
      <c r="C9" s="468"/>
      <c r="D9" s="383">
        <v>13</v>
      </c>
      <c r="E9" s="383">
        <v>13</v>
      </c>
      <c r="F9" s="383">
        <v>13</v>
      </c>
      <c r="G9" s="486" t="s">
        <v>257</v>
      </c>
      <c r="H9" s="470" t="s">
        <v>259</v>
      </c>
    </row>
    <row r="10" spans="1:9" x14ac:dyDescent="0.2">
      <c r="A10" s="30">
        <v>2</v>
      </c>
      <c r="B10" s="670" t="s">
        <v>298</v>
      </c>
      <c r="C10" s="382">
        <v>3</v>
      </c>
      <c r="D10" s="468"/>
      <c r="E10" s="382">
        <v>5</v>
      </c>
      <c r="F10" s="382">
        <v>0</v>
      </c>
      <c r="G10" s="486" t="s">
        <v>256</v>
      </c>
      <c r="H10" s="470" t="s">
        <v>261</v>
      </c>
    </row>
    <row r="11" spans="1:9" x14ac:dyDescent="0.2">
      <c r="A11" s="30">
        <v>3</v>
      </c>
      <c r="B11" s="665" t="s">
        <v>426</v>
      </c>
      <c r="C11" s="382">
        <v>6</v>
      </c>
      <c r="D11" s="383">
        <v>13</v>
      </c>
      <c r="E11" s="468"/>
      <c r="F11" s="383">
        <v>13</v>
      </c>
      <c r="G11" s="486" t="s">
        <v>258</v>
      </c>
      <c r="H11" s="470" t="s">
        <v>146</v>
      </c>
    </row>
    <row r="12" spans="1:9" x14ac:dyDescent="0.2">
      <c r="A12" s="30">
        <v>4</v>
      </c>
      <c r="B12" s="670" t="s">
        <v>360</v>
      </c>
      <c r="C12" s="382">
        <v>9</v>
      </c>
      <c r="D12" s="383">
        <v>13</v>
      </c>
      <c r="E12" s="382">
        <v>5</v>
      </c>
      <c r="F12" s="468"/>
      <c r="G12" s="486" t="s">
        <v>243</v>
      </c>
      <c r="H12" s="470" t="s">
        <v>260</v>
      </c>
    </row>
    <row r="13" spans="1:9" x14ac:dyDescent="0.2">
      <c r="A13" s="23"/>
      <c r="B13" s="8"/>
      <c r="C13" s="384"/>
      <c r="D13" s="384"/>
      <c r="E13" s="384"/>
      <c r="F13" s="275"/>
      <c r="G13" s="385"/>
      <c r="H13" s="478"/>
    </row>
    <row r="14" spans="1:9" x14ac:dyDescent="0.2">
      <c r="A14" s="30" t="s">
        <v>170</v>
      </c>
      <c r="B14" s="30"/>
      <c r="C14" s="381">
        <v>1</v>
      </c>
      <c r="D14" s="381">
        <v>2</v>
      </c>
      <c r="E14" s="381">
        <v>3</v>
      </c>
      <c r="F14" s="381">
        <v>4</v>
      </c>
      <c r="G14" s="477" t="s">
        <v>235</v>
      </c>
      <c r="H14" s="477" t="s">
        <v>86</v>
      </c>
    </row>
    <row r="15" spans="1:9" x14ac:dyDescent="0.2">
      <c r="A15" s="30">
        <v>1</v>
      </c>
      <c r="B15" s="670" t="s">
        <v>302</v>
      </c>
      <c r="C15" s="468"/>
      <c r="D15" s="382">
        <v>11</v>
      </c>
      <c r="E15" s="669">
        <v>1</v>
      </c>
      <c r="F15" s="668">
        <v>13</v>
      </c>
      <c r="G15" s="480" t="s">
        <v>243</v>
      </c>
      <c r="H15" s="470" t="s">
        <v>260</v>
      </c>
    </row>
    <row r="16" spans="1:9" x14ac:dyDescent="0.2">
      <c r="A16" s="30">
        <v>2</v>
      </c>
      <c r="B16" s="671" t="s">
        <v>326</v>
      </c>
      <c r="C16" s="383">
        <v>12</v>
      </c>
      <c r="D16" s="468"/>
      <c r="E16" s="383">
        <v>13</v>
      </c>
      <c r="F16" s="383">
        <v>13</v>
      </c>
      <c r="G16" s="486" t="s">
        <v>413</v>
      </c>
      <c r="H16" s="470" t="s">
        <v>259</v>
      </c>
    </row>
    <row r="17" spans="1:9" x14ac:dyDescent="0.2">
      <c r="A17" s="30">
        <v>3</v>
      </c>
      <c r="B17" s="670" t="s">
        <v>427</v>
      </c>
      <c r="C17" s="668">
        <v>13</v>
      </c>
      <c r="D17" s="382">
        <v>3</v>
      </c>
      <c r="E17" s="468"/>
      <c r="F17" s="669">
        <v>11</v>
      </c>
      <c r="G17" s="480" t="s">
        <v>243</v>
      </c>
      <c r="H17" s="470" t="s">
        <v>146</v>
      </c>
    </row>
    <row r="18" spans="1:9" x14ac:dyDescent="0.2">
      <c r="A18" s="30">
        <v>4</v>
      </c>
      <c r="B18" s="671" t="s">
        <v>428</v>
      </c>
      <c r="C18" s="669">
        <v>0</v>
      </c>
      <c r="D18" s="382">
        <v>4</v>
      </c>
      <c r="E18" s="668">
        <v>13</v>
      </c>
      <c r="F18" s="468"/>
      <c r="G18" s="480" t="s">
        <v>243</v>
      </c>
      <c r="H18" s="470" t="s">
        <v>261</v>
      </c>
    </row>
    <row r="19" spans="1:9" s="277" customFormat="1" x14ac:dyDescent="0.2"/>
    <row r="20" spans="1:9" s="277" customFormat="1" x14ac:dyDescent="0.2">
      <c r="B20" s="1008" t="s">
        <v>236</v>
      </c>
      <c r="C20" s="1038" t="s">
        <v>237</v>
      </c>
      <c r="D20" s="1038" t="s">
        <v>238</v>
      </c>
    </row>
    <row r="21" spans="1:9" s="277" customFormat="1" x14ac:dyDescent="0.2">
      <c r="B21" s="1008" t="s">
        <v>239</v>
      </c>
      <c r="C21" s="1038" t="s">
        <v>240</v>
      </c>
      <c r="D21" s="1038" t="s">
        <v>241</v>
      </c>
    </row>
    <row r="22" spans="1:9" s="277" customFormat="1" x14ac:dyDescent="0.2">
      <c r="B22" s="1008" t="s">
        <v>242</v>
      </c>
      <c r="C22" s="1038" t="s">
        <v>243</v>
      </c>
      <c r="D22" s="1038" t="s">
        <v>244</v>
      </c>
    </row>
    <row r="23" spans="1:9" x14ac:dyDescent="0.2">
      <c r="A23" s="23"/>
      <c r="B23" s="26"/>
      <c r="C23" s="275"/>
      <c r="D23" s="275"/>
      <c r="E23" s="666"/>
      <c r="F23" s="667"/>
      <c r="G23" s="492"/>
      <c r="H23" s="667"/>
    </row>
    <row r="24" spans="1:9" x14ac:dyDescent="0.2">
      <c r="A24" s="479" t="s">
        <v>342</v>
      </c>
      <c r="B24" s="339"/>
      <c r="C24" s="637"/>
      <c r="D24" s="637"/>
      <c r="E24" s="637"/>
      <c r="F24" s="654"/>
      <c r="G24" s="654"/>
      <c r="H24" s="667"/>
    </row>
    <row r="25" spans="1:9" x14ac:dyDescent="0.2">
      <c r="A25" s="481"/>
      <c r="B25" s="481"/>
      <c r="C25" s="482">
        <v>1</v>
      </c>
      <c r="D25" s="482">
        <v>3</v>
      </c>
      <c r="E25" s="482">
        <v>4</v>
      </c>
      <c r="F25" s="367" t="s">
        <v>235</v>
      </c>
      <c r="G25" s="1211"/>
      <c r="I25" s="667"/>
    </row>
    <row r="26" spans="1:9" x14ac:dyDescent="0.2">
      <c r="A26" s="481">
        <v>1</v>
      </c>
      <c r="B26" s="483" t="s">
        <v>302</v>
      </c>
      <c r="C26" s="484"/>
      <c r="D26" s="485">
        <v>1</v>
      </c>
      <c r="E26" s="482">
        <v>13</v>
      </c>
      <c r="F26" s="469" t="s">
        <v>335</v>
      </c>
      <c r="G26" s="1210" t="s">
        <v>429</v>
      </c>
      <c r="H26" s="495" t="s">
        <v>337</v>
      </c>
    </row>
    <row r="27" spans="1:9" x14ac:dyDescent="0.2">
      <c r="A27" s="481">
        <v>3</v>
      </c>
      <c r="B27" s="483" t="s">
        <v>427</v>
      </c>
      <c r="C27" s="482">
        <v>13</v>
      </c>
      <c r="D27" s="484"/>
      <c r="E27" s="485">
        <v>11</v>
      </c>
      <c r="F27" s="469" t="s">
        <v>335</v>
      </c>
      <c r="G27" s="1210" t="s">
        <v>430</v>
      </c>
      <c r="H27" s="495" t="s">
        <v>336</v>
      </c>
    </row>
    <row r="28" spans="1:9" x14ac:dyDescent="0.2">
      <c r="A28" s="481">
        <v>4</v>
      </c>
      <c r="B28" s="483" t="s">
        <v>428</v>
      </c>
      <c r="C28" s="485">
        <v>0</v>
      </c>
      <c r="D28" s="482">
        <v>13</v>
      </c>
      <c r="E28" s="484"/>
      <c r="F28" s="469" t="s">
        <v>335</v>
      </c>
      <c r="G28" s="1210" t="s">
        <v>431</v>
      </c>
      <c r="H28" s="495" t="s">
        <v>151</v>
      </c>
    </row>
    <row r="29" spans="1:9" x14ac:dyDescent="0.2">
      <c r="A29" s="23"/>
      <c r="B29" s="26"/>
      <c r="C29" s="275"/>
      <c r="D29" s="275"/>
      <c r="E29" s="666"/>
      <c r="F29" s="667"/>
      <c r="G29" s="492"/>
      <c r="H29" s="667"/>
    </row>
    <row r="30" spans="1:9" x14ac:dyDescent="0.2">
      <c r="A30" s="386" t="s">
        <v>278</v>
      </c>
      <c r="B30" s="460"/>
      <c r="C30" s="460"/>
      <c r="D30" s="460"/>
      <c r="E30" s="460"/>
      <c r="F30" s="460"/>
      <c r="G30" s="460"/>
      <c r="H30" s="460"/>
    </row>
    <row r="31" spans="1:9" x14ac:dyDescent="0.2">
      <c r="A31" s="478"/>
      <c r="B31" s="478"/>
      <c r="C31" s="478"/>
      <c r="D31" s="478"/>
      <c r="E31" s="478"/>
      <c r="F31" s="478"/>
      <c r="G31" s="478"/>
      <c r="H31" s="478"/>
    </row>
    <row r="32" spans="1:9" x14ac:dyDescent="0.2">
      <c r="A32" s="35" t="s">
        <v>247</v>
      </c>
      <c r="B32" s="478" t="s">
        <v>397</v>
      </c>
      <c r="C32" s="413">
        <v>10</v>
      </c>
      <c r="D32" s="478"/>
      <c r="E32" s="478"/>
      <c r="F32" s="478"/>
      <c r="G32" s="478"/>
      <c r="H32" s="478"/>
    </row>
    <row r="33" spans="1:8" x14ac:dyDescent="0.2">
      <c r="A33" s="389"/>
      <c r="B33" s="625"/>
      <c r="C33" s="391" t="s">
        <v>427</v>
      </c>
      <c r="D33" s="626"/>
      <c r="E33" s="478"/>
      <c r="F33" s="413">
        <v>8</v>
      </c>
      <c r="G33" s="478"/>
      <c r="H33" s="478"/>
    </row>
    <row r="34" spans="1:8" x14ac:dyDescent="0.2">
      <c r="A34" s="389" t="s">
        <v>251</v>
      </c>
      <c r="B34" s="626" t="s">
        <v>427</v>
      </c>
      <c r="C34" s="409">
        <v>13</v>
      </c>
      <c r="D34" s="478"/>
      <c r="E34" s="394"/>
      <c r="F34" s="478"/>
      <c r="G34" s="478"/>
      <c r="H34" s="478"/>
    </row>
    <row r="35" spans="1:8" ht="13.5" thickBot="1" x14ac:dyDescent="0.25">
      <c r="A35" s="389"/>
      <c r="B35" s="478"/>
      <c r="C35" s="478"/>
      <c r="D35" s="8"/>
      <c r="E35" s="395"/>
      <c r="F35" s="478"/>
      <c r="G35" s="478" t="s">
        <v>426</v>
      </c>
      <c r="H35" s="478"/>
    </row>
    <row r="36" spans="1:8" x14ac:dyDescent="0.2">
      <c r="A36" s="389" t="s">
        <v>252</v>
      </c>
      <c r="B36" s="478" t="s">
        <v>426</v>
      </c>
      <c r="C36" s="396">
        <v>9</v>
      </c>
      <c r="D36" s="478"/>
      <c r="E36" s="395"/>
      <c r="F36" s="397"/>
      <c r="G36" s="398" t="s">
        <v>148</v>
      </c>
      <c r="H36" s="399"/>
    </row>
    <row r="37" spans="1:8" x14ac:dyDescent="0.2">
      <c r="A37" s="389"/>
      <c r="B37" s="625"/>
      <c r="C37" s="400" t="s">
        <v>426</v>
      </c>
      <c r="D37" s="478"/>
      <c r="E37" s="401"/>
      <c r="F37" s="396">
        <v>12</v>
      </c>
      <c r="G37" s="478"/>
      <c r="H37" s="478"/>
    </row>
    <row r="38" spans="1:8" ht="13.5" thickBot="1" x14ac:dyDescent="0.25">
      <c r="A38" s="389" t="s">
        <v>246</v>
      </c>
      <c r="B38" s="626" t="s">
        <v>326</v>
      </c>
      <c r="C38" s="411">
        <v>7</v>
      </c>
      <c r="D38" s="625"/>
      <c r="E38" s="478"/>
      <c r="F38" s="8"/>
      <c r="G38" s="8" t="s">
        <v>427</v>
      </c>
      <c r="H38" s="412"/>
    </row>
    <row r="39" spans="1:8" x14ac:dyDescent="0.2">
      <c r="A39" s="45"/>
      <c r="B39" s="478"/>
      <c r="C39" s="478"/>
      <c r="D39" s="478"/>
      <c r="E39" s="478"/>
      <c r="F39" s="8"/>
      <c r="G39" s="398" t="s">
        <v>149</v>
      </c>
      <c r="H39" s="8"/>
    </row>
    <row r="40" spans="1:8" x14ac:dyDescent="0.2">
      <c r="A40" s="45"/>
      <c r="B40" s="478"/>
      <c r="C40" s="478" t="s">
        <v>397</v>
      </c>
      <c r="D40" s="478"/>
      <c r="E40" s="478"/>
      <c r="F40" s="410">
        <v>9</v>
      </c>
      <c r="G40" s="8"/>
      <c r="H40" s="8"/>
    </row>
    <row r="41" spans="1:8" ht="13.5" thickBot="1" x14ac:dyDescent="0.25">
      <c r="A41" s="45"/>
      <c r="B41" s="478"/>
      <c r="C41" s="625"/>
      <c r="D41" s="625"/>
      <c r="E41" s="394"/>
      <c r="F41" s="412"/>
      <c r="G41" s="412" t="s">
        <v>326</v>
      </c>
      <c r="H41" s="412"/>
    </row>
    <row r="42" spans="1:8" x14ac:dyDescent="0.2">
      <c r="A42" s="45"/>
      <c r="B42" s="478"/>
      <c r="C42" s="626" t="s">
        <v>326</v>
      </c>
      <c r="D42" s="626"/>
      <c r="E42" s="401"/>
      <c r="F42" s="413">
        <v>13</v>
      </c>
      <c r="G42" s="23" t="s">
        <v>150</v>
      </c>
      <c r="H42" s="8"/>
    </row>
    <row r="43" spans="1:8" x14ac:dyDescent="0.2">
      <c r="A43" s="45"/>
      <c r="B43" s="478"/>
      <c r="C43" s="478"/>
      <c r="D43" s="478"/>
      <c r="E43" s="478"/>
      <c r="F43" s="478"/>
      <c r="G43" s="8"/>
      <c r="H43" s="8"/>
    </row>
    <row r="44" spans="1:8" ht="13.5" thickBot="1" x14ac:dyDescent="0.25">
      <c r="A44" s="45"/>
      <c r="B44" s="478"/>
      <c r="C44" s="478"/>
      <c r="D44" s="8"/>
      <c r="E44" s="8"/>
      <c r="F44" s="478"/>
      <c r="G44" s="412" t="s">
        <v>397</v>
      </c>
      <c r="H44" s="412"/>
    </row>
    <row r="45" spans="1:8" x14ac:dyDescent="0.2">
      <c r="A45" s="45"/>
      <c r="B45" s="478"/>
      <c r="C45" s="478"/>
      <c r="D45" s="8"/>
      <c r="E45" s="8"/>
      <c r="F45" s="478"/>
      <c r="G45" s="45" t="s">
        <v>151</v>
      </c>
      <c r="H45" s="478"/>
    </row>
    <row r="46" spans="1:8" x14ac:dyDescent="0.2">
      <c r="A46" s="23"/>
      <c r="B46" s="8"/>
      <c r="C46" s="384"/>
      <c r="D46" s="384"/>
      <c r="E46" s="384"/>
      <c r="F46" s="275"/>
      <c r="G46" s="385"/>
      <c r="H46" s="478"/>
    </row>
    <row r="47" spans="1:8" x14ac:dyDescent="0.2">
      <c r="A47" s="386" t="s">
        <v>279</v>
      </c>
      <c r="B47" s="460"/>
      <c r="C47" s="460"/>
      <c r="D47" s="460"/>
      <c r="E47" s="460"/>
      <c r="F47" s="460"/>
      <c r="G47" s="460"/>
      <c r="H47" s="460"/>
    </row>
    <row r="48" spans="1:8" x14ac:dyDescent="0.2">
      <c r="A48" s="478"/>
      <c r="B48" s="478"/>
      <c r="C48" s="478"/>
      <c r="D48" s="478"/>
      <c r="E48" s="478"/>
      <c r="F48" s="478"/>
      <c r="G48" s="478"/>
      <c r="H48" s="478"/>
    </row>
    <row r="49" spans="1:8" x14ac:dyDescent="0.2">
      <c r="B49" s="35" t="s">
        <v>255</v>
      </c>
      <c r="C49" s="478" t="s">
        <v>360</v>
      </c>
      <c r="F49" s="413">
        <v>3</v>
      </c>
      <c r="G49" s="478"/>
      <c r="H49" s="478"/>
    </row>
    <row r="50" spans="1:8" ht="13.5" thickBot="1" x14ac:dyDescent="0.25">
      <c r="B50" s="389"/>
      <c r="C50" s="625"/>
      <c r="D50" s="674"/>
      <c r="E50" s="675"/>
      <c r="F50" s="672"/>
      <c r="G50" s="478" t="s">
        <v>302</v>
      </c>
      <c r="H50" s="478"/>
    </row>
    <row r="51" spans="1:8" x14ac:dyDescent="0.2">
      <c r="B51" s="389" t="s">
        <v>264</v>
      </c>
      <c r="C51" s="626" t="s">
        <v>302</v>
      </c>
      <c r="D51" s="676"/>
      <c r="E51" s="677"/>
      <c r="F51" s="673">
        <v>13</v>
      </c>
      <c r="G51" s="398" t="s">
        <v>152</v>
      </c>
      <c r="H51" s="399"/>
    </row>
    <row r="52" spans="1:8" x14ac:dyDescent="0.2">
      <c r="A52" s="389"/>
      <c r="B52" s="8"/>
      <c r="C52" s="410"/>
      <c r="D52" s="478"/>
      <c r="E52" s="8"/>
      <c r="F52" s="8"/>
      <c r="G52" s="478"/>
      <c r="H52" s="478"/>
    </row>
    <row r="53" spans="1:8" ht="13.5" thickBot="1" x14ac:dyDescent="0.25">
      <c r="A53" s="389"/>
      <c r="B53" s="8"/>
      <c r="C53" s="410"/>
      <c r="D53" s="478"/>
      <c r="E53" s="8"/>
      <c r="F53" s="8"/>
      <c r="G53" s="478" t="s">
        <v>360</v>
      </c>
      <c r="H53" s="412"/>
    </row>
    <row r="54" spans="1:8" x14ac:dyDescent="0.2">
      <c r="A54" s="389"/>
      <c r="B54" s="8"/>
      <c r="C54" s="410"/>
      <c r="D54" s="478"/>
      <c r="E54" s="8"/>
      <c r="F54" s="8"/>
      <c r="G54" s="398" t="s">
        <v>153</v>
      </c>
      <c r="H54" s="8"/>
    </row>
    <row r="55" spans="1:8" x14ac:dyDescent="0.2">
      <c r="A55" s="389"/>
      <c r="B55" s="8"/>
      <c r="C55" s="410"/>
      <c r="D55" s="478"/>
      <c r="E55" s="8"/>
      <c r="F55" s="8"/>
    </row>
    <row r="56" spans="1:8" x14ac:dyDescent="0.2">
      <c r="B56" s="35" t="s">
        <v>280</v>
      </c>
      <c r="C56" s="478" t="s">
        <v>298</v>
      </c>
      <c r="F56" s="413">
        <v>0</v>
      </c>
      <c r="G56" s="478"/>
      <c r="H56" s="478"/>
    </row>
    <row r="57" spans="1:8" ht="13.5" thickBot="1" x14ac:dyDescent="0.25">
      <c r="B57" s="389"/>
      <c r="C57" s="625"/>
      <c r="D57" s="674"/>
      <c r="E57" s="675"/>
      <c r="F57" s="672"/>
      <c r="G57" s="478" t="s">
        <v>428</v>
      </c>
      <c r="H57" s="478"/>
    </row>
    <row r="58" spans="1:8" x14ac:dyDescent="0.2">
      <c r="B58" s="389" t="s">
        <v>265</v>
      </c>
      <c r="C58" s="626" t="s">
        <v>428</v>
      </c>
      <c r="D58" s="676"/>
      <c r="E58" s="677"/>
      <c r="F58" s="673">
        <v>13</v>
      </c>
      <c r="G58" s="398" t="s">
        <v>154</v>
      </c>
      <c r="H58" s="399"/>
    </row>
    <row r="59" spans="1:8" x14ac:dyDescent="0.2">
      <c r="B59" s="8"/>
      <c r="C59" s="410"/>
      <c r="D59" s="478"/>
      <c r="E59" s="8"/>
      <c r="F59" s="8"/>
      <c r="G59" s="478"/>
      <c r="H59" s="478"/>
    </row>
    <row r="60" spans="1:8" ht="13.5" thickBot="1" x14ac:dyDescent="0.25">
      <c r="B60" s="8"/>
      <c r="C60" s="410"/>
      <c r="D60" s="478"/>
      <c r="E60" s="8"/>
      <c r="F60" s="8"/>
      <c r="G60" s="478" t="s">
        <v>298</v>
      </c>
      <c r="H60" s="412"/>
    </row>
    <row r="61" spans="1:8" x14ac:dyDescent="0.2">
      <c r="B61" s="8"/>
      <c r="C61" s="410"/>
      <c r="D61" s="478"/>
      <c r="E61" s="8"/>
      <c r="F61" s="8"/>
      <c r="G61" s="398" t="s">
        <v>155</v>
      </c>
      <c r="H61" s="8"/>
    </row>
    <row r="63" spans="1:8" x14ac:dyDescent="0.2">
      <c r="A63" s="30">
        <v>1</v>
      </c>
      <c r="B63" s="32" t="s">
        <v>426</v>
      </c>
    </row>
    <row r="64" spans="1:8" x14ac:dyDescent="0.2">
      <c r="A64" s="30">
        <v>2</v>
      </c>
      <c r="B64" s="689" t="s">
        <v>427</v>
      </c>
    </row>
    <row r="65" spans="1:2" x14ac:dyDescent="0.2">
      <c r="A65" s="30">
        <v>3</v>
      </c>
      <c r="B65" s="690" t="s">
        <v>326</v>
      </c>
    </row>
    <row r="66" spans="1:2" x14ac:dyDescent="0.2">
      <c r="A66" s="30">
        <v>4</v>
      </c>
      <c r="B66" s="665" t="s">
        <v>397</v>
      </c>
    </row>
    <row r="67" spans="1:2" x14ac:dyDescent="0.2">
      <c r="A67" s="30">
        <v>5</v>
      </c>
      <c r="B67" s="665" t="s">
        <v>302</v>
      </c>
    </row>
    <row r="68" spans="1:2" x14ac:dyDescent="0.2">
      <c r="A68" s="30">
        <v>6</v>
      </c>
      <c r="B68" s="665" t="s">
        <v>360</v>
      </c>
    </row>
    <row r="69" spans="1:2" x14ac:dyDescent="0.2">
      <c r="A69" s="30">
        <v>7</v>
      </c>
      <c r="B69" s="665" t="s">
        <v>428</v>
      </c>
    </row>
    <row r="70" spans="1:2" x14ac:dyDescent="0.2">
      <c r="A70" s="30">
        <v>8</v>
      </c>
      <c r="B70" s="665" t="s">
        <v>298</v>
      </c>
    </row>
  </sheetData>
  <conditionalFormatting sqref="C9:F58">
    <cfRule type="cellIs" dxfId="51" priority="1" operator="equal">
      <formula>13</formula>
    </cfRule>
  </conditionalFormatting>
  <pageMargins left="0.78740157480314965" right="0.39370078740157483" top="0.78740157480314965" bottom="0.39370078740157483" header="0.78740157480314965" footer="0"/>
  <pageSetup paperSize="9" fitToHeight="0" orientation="portrait" verticalDpi="1200" r:id="rId1"/>
  <headerFooter>
    <oddHeader>&amp;R&amp;"Arial,Regular"&amp;9Page &amp;P of &amp;N</oddHeader>
  </headerFooter>
  <rowBreaks count="1" manualBreakCount="1">
    <brk id="2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S3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3.28515625" style="12" customWidth="1"/>
    <col min="2" max="2" width="43.28515625" style="12" bestFit="1" customWidth="1"/>
    <col min="3" max="10" width="6.5703125" style="12" customWidth="1"/>
    <col min="11" max="22" width="4.7109375" style="12" customWidth="1"/>
    <col min="23" max="16384" width="9.140625" style="12"/>
  </cols>
  <sheetData>
    <row r="1" spans="1:19" x14ac:dyDescent="0.2">
      <c r="A1" s="11" t="str">
        <f>UPPER((Kalend!E33)&amp;" - "&amp;(Kalend!C33)&amp;" - "&amp;(Kalend!D33))</f>
        <v>M4 - MÄETAGUSE 7. KV 4. ETAPP - TRIO</v>
      </c>
      <c r="E1" s="297" t="str">
        <f>HYPERLINK("#Kalend!I1","Kalender")</f>
        <v>Kalender</v>
      </c>
      <c r="F1" s="478"/>
      <c r="G1" s="297" t="str">
        <f>HYPERLINK("#Reit!G1","Reiting")</f>
        <v>Reiting</v>
      </c>
      <c r="H1" s="478"/>
      <c r="I1" s="478"/>
      <c r="S1"/>
    </row>
    <row r="2" spans="1:19" x14ac:dyDescent="0.2">
      <c r="A2" s="9" t="str">
        <f>"Toimumisaeg: "&amp;(Kalend!A33)&amp;" kell "&amp;(Kalend!B33)</f>
        <v>Toimumisaeg: T, 23.08.2016 kell 18:00</v>
      </c>
    </row>
    <row r="3" spans="1:19" x14ac:dyDescent="0.2">
      <c r="A3" s="9" t="str">
        <f>"Toimumiskoht: "&amp;(Kalend!F33)</f>
        <v>Toimumiskoht: Mäetaguse staadion</v>
      </c>
    </row>
    <row r="4" spans="1:19" x14ac:dyDescent="0.2">
      <c r="A4" s="9" t="str">
        <f>"Korraldaja: "&amp;(Kalend!G33)</f>
        <v>Korraldaja: Mäetaguse SK, Taavi Toomel</v>
      </c>
    </row>
    <row r="6" spans="1:19" x14ac:dyDescent="0.2">
      <c r="A6" s="466"/>
      <c r="B6" s="466"/>
      <c r="C6" s="367">
        <v>1</v>
      </c>
      <c r="D6" s="367">
        <v>2</v>
      </c>
      <c r="E6" s="367">
        <v>3</v>
      </c>
      <c r="F6" s="367">
        <v>4</v>
      </c>
      <c r="G6" s="367">
        <v>5</v>
      </c>
      <c r="H6" s="367" t="s">
        <v>235</v>
      </c>
      <c r="I6" s="367" t="s">
        <v>86</v>
      </c>
    </row>
    <row r="7" spans="1:19" x14ac:dyDescent="0.2">
      <c r="A7" s="466">
        <v>1</v>
      </c>
      <c r="B7" s="467" t="s">
        <v>496</v>
      </c>
      <c r="C7" s="468"/>
      <c r="D7" s="477">
        <v>7</v>
      </c>
      <c r="E7" s="504">
        <v>8</v>
      </c>
      <c r="F7" s="470">
        <v>13</v>
      </c>
      <c r="G7" s="503">
        <v>4</v>
      </c>
      <c r="H7" s="480" t="s">
        <v>413</v>
      </c>
      <c r="I7" s="338" t="s">
        <v>260</v>
      </c>
    </row>
    <row r="8" spans="1:19" x14ac:dyDescent="0.2">
      <c r="A8" s="466">
        <v>2</v>
      </c>
      <c r="B8" s="467" t="s">
        <v>497</v>
      </c>
      <c r="C8" s="470">
        <v>5</v>
      </c>
      <c r="D8" s="468"/>
      <c r="E8" s="470">
        <v>3</v>
      </c>
      <c r="F8" s="470">
        <v>13</v>
      </c>
      <c r="G8" s="470">
        <v>7</v>
      </c>
      <c r="H8" s="486" t="s">
        <v>240</v>
      </c>
      <c r="I8" s="470" t="s">
        <v>261</v>
      </c>
    </row>
    <row r="9" spans="1:19" x14ac:dyDescent="0.2">
      <c r="A9" s="466">
        <v>3</v>
      </c>
      <c r="B9" s="467" t="s">
        <v>410</v>
      </c>
      <c r="C9" s="503">
        <v>5</v>
      </c>
      <c r="D9" s="338">
        <v>13</v>
      </c>
      <c r="E9" s="468"/>
      <c r="F9" s="470">
        <v>13</v>
      </c>
      <c r="G9" s="504">
        <v>11</v>
      </c>
      <c r="H9" s="480" t="s">
        <v>413</v>
      </c>
      <c r="I9" s="470" t="s">
        <v>146</v>
      </c>
    </row>
    <row r="10" spans="1:19" x14ac:dyDescent="0.2">
      <c r="A10" s="466">
        <v>4</v>
      </c>
      <c r="B10" s="467" t="s">
        <v>498</v>
      </c>
      <c r="C10" s="470">
        <v>3</v>
      </c>
      <c r="D10" s="338">
        <v>9</v>
      </c>
      <c r="E10" s="470">
        <v>4</v>
      </c>
      <c r="F10" s="468"/>
      <c r="G10" s="470">
        <v>5</v>
      </c>
      <c r="H10" s="486" t="s">
        <v>500</v>
      </c>
      <c r="I10" s="470" t="s">
        <v>328</v>
      </c>
    </row>
    <row r="11" spans="1:19" x14ac:dyDescent="0.2">
      <c r="A11" s="466">
        <v>5</v>
      </c>
      <c r="B11" s="467" t="s">
        <v>499</v>
      </c>
      <c r="C11" s="503">
        <v>13</v>
      </c>
      <c r="D11" s="470">
        <v>13</v>
      </c>
      <c r="E11" s="503">
        <v>8</v>
      </c>
      <c r="F11" s="477">
        <v>10</v>
      </c>
      <c r="G11" s="468"/>
      <c r="H11" s="480" t="s">
        <v>413</v>
      </c>
      <c r="I11" s="470" t="s">
        <v>259</v>
      </c>
    </row>
    <row r="12" spans="1:19" x14ac:dyDescent="0.2">
      <c r="A12" s="462"/>
      <c r="B12" s="463"/>
      <c r="C12" s="464"/>
      <c r="D12" s="464"/>
      <c r="E12" s="635"/>
      <c r="F12" s="635"/>
      <c r="G12" s="635"/>
      <c r="H12" s="636"/>
      <c r="I12" s="635"/>
    </row>
    <row r="13" spans="1:19" x14ac:dyDescent="0.2">
      <c r="A13" s="471"/>
      <c r="B13" s="339" t="s">
        <v>236</v>
      </c>
      <c r="C13" s="763" t="s">
        <v>315</v>
      </c>
      <c r="D13" s="763" t="s">
        <v>244</v>
      </c>
      <c r="H13" s="637"/>
      <c r="I13" s="472"/>
    </row>
    <row r="14" spans="1:19" x14ac:dyDescent="0.2">
      <c r="A14" s="471"/>
      <c r="B14" s="339" t="s">
        <v>239</v>
      </c>
      <c r="C14" s="637" t="s">
        <v>243</v>
      </c>
      <c r="D14" s="763" t="s">
        <v>323</v>
      </c>
      <c r="E14" s="637"/>
      <c r="H14" s="637"/>
      <c r="I14" s="472"/>
    </row>
    <row r="15" spans="1:19" x14ac:dyDescent="0.2">
      <c r="A15" s="471"/>
      <c r="B15" s="339" t="s">
        <v>242</v>
      </c>
      <c r="C15" s="637" t="s">
        <v>240</v>
      </c>
      <c r="D15" s="763" t="s">
        <v>321</v>
      </c>
      <c r="H15" s="637"/>
      <c r="I15" s="475"/>
    </row>
    <row r="16" spans="1:19" x14ac:dyDescent="0.2">
      <c r="A16" s="471"/>
      <c r="B16" s="339" t="s">
        <v>319</v>
      </c>
      <c r="C16" s="637" t="s">
        <v>237</v>
      </c>
      <c r="D16" s="763" t="s">
        <v>238</v>
      </c>
      <c r="E16" s="637"/>
      <c r="H16" s="637"/>
      <c r="I16" s="472"/>
    </row>
    <row r="17" spans="1:9" x14ac:dyDescent="0.2">
      <c r="A17" s="471"/>
      <c r="B17" s="339" t="s">
        <v>322</v>
      </c>
      <c r="C17" s="763" t="s">
        <v>316</v>
      </c>
      <c r="D17" s="763" t="s">
        <v>241</v>
      </c>
      <c r="E17" s="637"/>
      <c r="H17" s="637"/>
      <c r="I17" s="472"/>
    </row>
    <row r="18" spans="1:9" x14ac:dyDescent="0.2">
      <c r="A18" s="471"/>
      <c r="B18" s="339"/>
      <c r="C18" s="637"/>
      <c r="D18" s="637"/>
      <c r="E18" s="637"/>
      <c r="F18" s="654"/>
      <c r="G18" s="654"/>
      <c r="H18" s="637"/>
      <c r="I18" s="472"/>
    </row>
    <row r="19" spans="1:9" x14ac:dyDescent="0.2">
      <c r="A19" s="479" t="s">
        <v>338</v>
      </c>
      <c r="B19" s="339"/>
      <c r="C19" s="637"/>
      <c r="D19" s="637"/>
      <c r="E19" s="637"/>
      <c r="F19" s="654"/>
      <c r="G19" s="654"/>
      <c r="H19" s="637"/>
      <c r="I19" s="472"/>
    </row>
    <row r="20" spans="1:9" x14ac:dyDescent="0.2">
      <c r="A20" s="481"/>
      <c r="B20" s="481"/>
      <c r="C20" s="482">
        <v>1</v>
      </c>
      <c r="D20" s="482">
        <v>3</v>
      </c>
      <c r="E20" s="482">
        <v>5</v>
      </c>
      <c r="F20" s="367" t="s">
        <v>235</v>
      </c>
      <c r="G20" s="654"/>
      <c r="H20" s="637"/>
      <c r="I20" s="472"/>
    </row>
    <row r="21" spans="1:9" x14ac:dyDescent="0.2">
      <c r="A21" s="481">
        <v>1</v>
      </c>
      <c r="B21" s="483" t="s">
        <v>496</v>
      </c>
      <c r="C21" s="484"/>
      <c r="D21" s="482">
        <v>8</v>
      </c>
      <c r="E21" s="485">
        <v>4</v>
      </c>
      <c r="F21" s="469" t="s">
        <v>335</v>
      </c>
      <c r="G21" s="762" t="s">
        <v>501</v>
      </c>
      <c r="H21" s="495" t="s">
        <v>337</v>
      </c>
      <c r="I21" s="472"/>
    </row>
    <row r="22" spans="1:9" x14ac:dyDescent="0.2">
      <c r="A22" s="481">
        <v>3</v>
      </c>
      <c r="B22" s="483" t="s">
        <v>410</v>
      </c>
      <c r="C22" s="485">
        <v>5</v>
      </c>
      <c r="D22" s="484"/>
      <c r="E22" s="482">
        <v>11</v>
      </c>
      <c r="F22" s="469" t="s">
        <v>335</v>
      </c>
      <c r="G22" s="413">
        <v>0</v>
      </c>
      <c r="H22" s="495" t="s">
        <v>336</v>
      </c>
      <c r="I22" s="472"/>
    </row>
    <row r="23" spans="1:9" x14ac:dyDescent="0.2">
      <c r="A23" s="481">
        <v>5</v>
      </c>
      <c r="B23" s="483" t="s">
        <v>499</v>
      </c>
      <c r="C23" s="485">
        <v>13</v>
      </c>
      <c r="D23" s="485">
        <v>8</v>
      </c>
      <c r="E23" s="484"/>
      <c r="F23" s="469" t="s">
        <v>335</v>
      </c>
      <c r="G23" s="762" t="s">
        <v>502</v>
      </c>
      <c r="H23" s="495" t="s">
        <v>503</v>
      </c>
      <c r="I23" s="654"/>
    </row>
    <row r="26" spans="1:9" x14ac:dyDescent="0.2">
      <c r="A26" s="30">
        <v>1</v>
      </c>
      <c r="B26" s="32" t="s">
        <v>499</v>
      </c>
    </row>
    <row r="27" spans="1:9" x14ac:dyDescent="0.2">
      <c r="A27" s="30">
        <v>2</v>
      </c>
      <c r="B27" s="764" t="s">
        <v>410</v>
      </c>
    </row>
    <row r="28" spans="1:9" x14ac:dyDescent="0.2">
      <c r="A28" s="30">
        <v>3</v>
      </c>
      <c r="B28" s="765" t="s">
        <v>496</v>
      </c>
    </row>
    <row r="29" spans="1:9" x14ac:dyDescent="0.2">
      <c r="A29" s="30">
        <v>4</v>
      </c>
      <c r="B29" s="760" t="s">
        <v>497</v>
      </c>
    </row>
    <row r="30" spans="1:9" x14ac:dyDescent="0.2">
      <c r="A30" s="30">
        <v>5</v>
      </c>
      <c r="B30" s="467" t="s">
        <v>498</v>
      </c>
    </row>
  </sheetData>
  <conditionalFormatting sqref="C7:G23">
    <cfRule type="cellIs" dxfId="50" priority="1" operator="equal">
      <formula>13</formula>
    </cfRule>
  </conditionalFormatting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&amp;R&amp;"Arial,Regular"&amp;9Page 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K93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K1" sqref="K1"/>
    </sheetView>
  </sheetViews>
  <sheetFormatPr defaultRowHeight="12.75" x14ac:dyDescent="0.2"/>
  <cols>
    <col min="1" max="1" width="3.28515625" style="12" customWidth="1"/>
    <col min="2" max="2" width="20.28515625" style="12" customWidth="1"/>
    <col min="3" max="16" width="9.140625" style="12" customWidth="1"/>
    <col min="17" max="16384" width="9.140625" style="12"/>
  </cols>
  <sheetData>
    <row r="1" spans="1:11" x14ac:dyDescent="0.2">
      <c r="A1" s="11" t="str">
        <f>UPPER((Kalend!E42)&amp;" - "&amp;(Kalend!C42)&amp;" - "&amp;(Kalend!D42))</f>
        <v>M5 - MÄETAGUSE 7. KV 5. ETAPP - ÜKSIK</v>
      </c>
      <c r="E1" s="945"/>
      <c r="F1" s="9"/>
      <c r="G1" s="297" t="str">
        <f>HYPERLINK("#Kalend!I1","Kalender")</f>
        <v>Kalender</v>
      </c>
      <c r="H1" s="478"/>
      <c r="I1" s="297" t="str">
        <f>HYPERLINK("#Reit!G1","Reiting")</f>
        <v>Reiting</v>
      </c>
      <c r="J1" s="478"/>
      <c r="K1" s="478"/>
    </row>
    <row r="2" spans="1:11" x14ac:dyDescent="0.2">
      <c r="A2" s="9" t="str">
        <f>"Toimumisaeg: "&amp;(Kalend!A42)&amp;" kell "&amp;(Kalend!B42)</f>
        <v>Toimumisaeg: L, 01.10.2016 kell 10:00</v>
      </c>
    </row>
    <row r="3" spans="1:11" x14ac:dyDescent="0.2">
      <c r="A3" s="9" t="str">
        <f>"Toimumiskoht: "&amp;(Kalend!F42)</f>
        <v>Toimumiskoht: Mäetaguse parkla</v>
      </c>
    </row>
    <row r="4" spans="1:11" x14ac:dyDescent="0.2">
      <c r="A4" s="9" t="str">
        <f>"Korraldaja: "&amp;(Kalend!G42)</f>
        <v>Korraldaja: Mäetaguse SK, Taavi Toomel</v>
      </c>
    </row>
    <row r="6" spans="1:11" s="945" customFormat="1" x14ac:dyDescent="0.2">
      <c r="A6" s="272" t="s">
        <v>138</v>
      </c>
      <c r="B6" s="272"/>
      <c r="C6" s="381">
        <v>1</v>
      </c>
      <c r="D6" s="381">
        <v>2</v>
      </c>
      <c r="E6" s="381">
        <v>3</v>
      </c>
      <c r="F6" s="381" t="s">
        <v>235</v>
      </c>
      <c r="G6" s="381" t="s">
        <v>86</v>
      </c>
    </row>
    <row r="7" spans="1:11" s="945" customFormat="1" x14ac:dyDescent="0.2">
      <c r="A7" s="272">
        <v>1</v>
      </c>
      <c r="B7" s="1009" t="s">
        <v>68</v>
      </c>
      <c r="C7" s="1007"/>
      <c r="D7" s="545">
        <v>13</v>
      </c>
      <c r="E7" s="545">
        <v>13</v>
      </c>
      <c r="F7" s="1033" t="s">
        <v>333</v>
      </c>
      <c r="G7" s="1034" t="s">
        <v>259</v>
      </c>
    </row>
    <row r="8" spans="1:11" s="945" customFormat="1" x14ac:dyDescent="0.2">
      <c r="A8" s="272">
        <v>2</v>
      </c>
      <c r="B8" s="1009" t="s">
        <v>81</v>
      </c>
      <c r="C8" s="545">
        <v>12</v>
      </c>
      <c r="D8" s="1007"/>
      <c r="E8" s="545">
        <v>13</v>
      </c>
      <c r="F8" s="1033" t="s">
        <v>335</v>
      </c>
      <c r="G8" s="1034" t="s">
        <v>146</v>
      </c>
    </row>
    <row r="9" spans="1:11" s="945" customFormat="1" x14ac:dyDescent="0.2">
      <c r="A9" s="272">
        <v>3</v>
      </c>
      <c r="B9" s="1009" t="s">
        <v>54</v>
      </c>
      <c r="C9" s="545">
        <v>12</v>
      </c>
      <c r="D9" s="550">
        <v>12</v>
      </c>
      <c r="E9" s="1007"/>
      <c r="F9" s="1033" t="s">
        <v>334</v>
      </c>
      <c r="G9" s="550" t="s">
        <v>260</v>
      </c>
      <c r="H9" s="1037" t="s">
        <v>599</v>
      </c>
    </row>
    <row r="10" spans="1:11" s="945" customFormat="1" x14ac:dyDescent="0.2"/>
    <row r="11" spans="1:11" s="945" customFormat="1" x14ac:dyDescent="0.2">
      <c r="A11" s="272" t="s">
        <v>170</v>
      </c>
      <c r="B11" s="272"/>
      <c r="C11" s="381">
        <v>1</v>
      </c>
      <c r="D11" s="381">
        <v>2</v>
      </c>
      <c r="E11" s="381">
        <v>3</v>
      </c>
      <c r="F11" s="381" t="s">
        <v>235</v>
      </c>
      <c r="G11" s="381" t="s">
        <v>86</v>
      </c>
    </row>
    <row r="12" spans="1:11" s="945" customFormat="1" x14ac:dyDescent="0.2">
      <c r="A12" s="272">
        <v>1</v>
      </c>
      <c r="B12" s="1009" t="s">
        <v>45</v>
      </c>
      <c r="C12" s="1007"/>
      <c r="D12" s="545">
        <v>13</v>
      </c>
      <c r="E12" s="545">
        <v>13</v>
      </c>
      <c r="F12" s="1033" t="s">
        <v>333</v>
      </c>
      <c r="G12" s="1034" t="s">
        <v>259</v>
      </c>
    </row>
    <row r="13" spans="1:11" s="945" customFormat="1" x14ac:dyDescent="0.2">
      <c r="A13" s="272">
        <v>2</v>
      </c>
      <c r="B13" s="1010" t="s">
        <v>44</v>
      </c>
      <c r="C13" s="545">
        <v>7</v>
      </c>
      <c r="D13" s="1007"/>
      <c r="E13" s="545">
        <v>8</v>
      </c>
      <c r="F13" s="1033" t="s">
        <v>334</v>
      </c>
      <c r="G13" s="1034" t="s">
        <v>260</v>
      </c>
    </row>
    <row r="14" spans="1:11" s="945" customFormat="1" x14ac:dyDescent="0.2">
      <c r="A14" s="272">
        <v>3</v>
      </c>
      <c r="B14" s="1009" t="s">
        <v>50</v>
      </c>
      <c r="C14" s="545">
        <v>10</v>
      </c>
      <c r="D14" s="550">
        <v>13</v>
      </c>
      <c r="E14" s="1007"/>
      <c r="F14" s="1033" t="s">
        <v>335</v>
      </c>
      <c r="G14" s="550" t="s">
        <v>146</v>
      </c>
    </row>
    <row r="15" spans="1:11" s="945" customFormat="1" x14ac:dyDescent="0.2"/>
    <row r="16" spans="1:11" s="945" customFormat="1" x14ac:dyDescent="0.2">
      <c r="A16" s="272" t="s">
        <v>184</v>
      </c>
      <c r="B16" s="272"/>
      <c r="C16" s="381">
        <v>1</v>
      </c>
      <c r="D16" s="381">
        <v>2</v>
      </c>
      <c r="E16" s="381">
        <v>3</v>
      </c>
      <c r="F16" s="381" t="s">
        <v>235</v>
      </c>
      <c r="G16" s="381" t="s">
        <v>86</v>
      </c>
    </row>
    <row r="17" spans="1:8" s="945" customFormat="1" x14ac:dyDescent="0.2">
      <c r="A17" s="272">
        <v>1</v>
      </c>
      <c r="B17" s="1010" t="s">
        <v>49</v>
      </c>
      <c r="C17" s="1007"/>
      <c r="D17" s="545">
        <v>13</v>
      </c>
      <c r="E17" s="545">
        <v>13</v>
      </c>
      <c r="F17" s="1033" t="s">
        <v>333</v>
      </c>
      <c r="G17" s="1034" t="s">
        <v>259</v>
      </c>
    </row>
    <row r="18" spans="1:8" s="945" customFormat="1" x14ac:dyDescent="0.2">
      <c r="A18" s="272">
        <v>2</v>
      </c>
      <c r="B18" s="1010" t="s">
        <v>339</v>
      </c>
      <c r="C18" s="545">
        <v>9</v>
      </c>
      <c r="D18" s="1007"/>
      <c r="E18" s="545">
        <v>13</v>
      </c>
      <c r="F18" s="1033" t="s">
        <v>335</v>
      </c>
      <c r="G18" s="1034" t="s">
        <v>146</v>
      </c>
    </row>
    <row r="19" spans="1:8" s="945" customFormat="1" x14ac:dyDescent="0.2">
      <c r="A19" s="272">
        <v>3</v>
      </c>
      <c r="B19" s="1009" t="s">
        <v>46</v>
      </c>
      <c r="C19" s="545">
        <v>7</v>
      </c>
      <c r="D19" s="550">
        <v>9</v>
      </c>
      <c r="E19" s="1007"/>
      <c r="F19" s="1033" t="s">
        <v>334</v>
      </c>
      <c r="G19" s="550" t="s">
        <v>260</v>
      </c>
    </row>
    <row r="20" spans="1:8" s="945" customFormat="1" x14ac:dyDescent="0.2"/>
    <row r="21" spans="1:8" s="945" customFormat="1" x14ac:dyDescent="0.2">
      <c r="A21" s="273"/>
      <c r="B21" s="1008" t="s">
        <v>236</v>
      </c>
      <c r="C21" s="385" t="s">
        <v>240</v>
      </c>
      <c r="F21" s="275"/>
      <c r="G21" s="385"/>
    </row>
    <row r="22" spans="1:8" s="945" customFormat="1" x14ac:dyDescent="0.2">
      <c r="A22" s="273"/>
      <c r="B22" s="1008" t="s">
        <v>239</v>
      </c>
      <c r="C22" s="385" t="s">
        <v>238</v>
      </c>
      <c r="E22" s="385"/>
      <c r="F22" s="275"/>
      <c r="G22" s="385"/>
    </row>
    <row r="23" spans="1:8" s="945" customFormat="1" x14ac:dyDescent="0.2">
      <c r="A23" s="273"/>
      <c r="B23" s="1008" t="s">
        <v>242</v>
      </c>
      <c r="C23" s="385" t="s">
        <v>243</v>
      </c>
      <c r="E23" s="385"/>
      <c r="F23" s="275"/>
      <c r="G23" s="385"/>
    </row>
    <row r="24" spans="1:8" s="945" customFormat="1" x14ac:dyDescent="0.2"/>
    <row r="25" spans="1:8" s="945" customFormat="1" x14ac:dyDescent="0.2">
      <c r="A25" s="272" t="s">
        <v>185</v>
      </c>
      <c r="B25" s="272"/>
      <c r="C25" s="381">
        <v>1</v>
      </c>
      <c r="D25" s="381">
        <v>2</v>
      </c>
      <c r="E25" s="381">
        <v>3</v>
      </c>
      <c r="F25" s="381">
        <v>4</v>
      </c>
      <c r="G25" s="381" t="s">
        <v>235</v>
      </c>
      <c r="H25" s="381" t="s">
        <v>86</v>
      </c>
    </row>
    <row r="26" spans="1:8" s="945" customFormat="1" x14ac:dyDescent="0.2">
      <c r="A26" s="272">
        <v>1</v>
      </c>
      <c r="B26" s="1035" t="s">
        <v>59</v>
      </c>
      <c r="C26" s="1007"/>
      <c r="D26" s="545">
        <v>6</v>
      </c>
      <c r="E26" s="545">
        <v>13</v>
      </c>
      <c r="F26" s="545">
        <v>13</v>
      </c>
      <c r="G26" s="1033" t="s">
        <v>258</v>
      </c>
      <c r="H26" s="1034" t="s">
        <v>259</v>
      </c>
    </row>
    <row r="27" spans="1:8" s="945" customFormat="1" x14ac:dyDescent="0.2">
      <c r="A27" s="272">
        <v>2</v>
      </c>
      <c r="B27" s="1035" t="s">
        <v>47</v>
      </c>
      <c r="C27" s="545">
        <v>13</v>
      </c>
      <c r="D27" s="1007"/>
      <c r="E27" s="545">
        <v>10</v>
      </c>
      <c r="F27" s="545">
        <v>5</v>
      </c>
      <c r="G27" s="1033" t="s">
        <v>243</v>
      </c>
      <c r="H27" s="1034" t="s">
        <v>261</v>
      </c>
    </row>
    <row r="28" spans="1:8" s="945" customFormat="1" x14ac:dyDescent="0.2">
      <c r="A28" s="272">
        <v>3</v>
      </c>
      <c r="B28" s="1035" t="s">
        <v>57</v>
      </c>
      <c r="C28" s="545">
        <v>11</v>
      </c>
      <c r="D28" s="550">
        <v>13</v>
      </c>
      <c r="E28" s="1007"/>
      <c r="F28" s="545">
        <v>11</v>
      </c>
      <c r="G28" s="1033" t="s">
        <v>243</v>
      </c>
      <c r="H28" s="550" t="s">
        <v>260</v>
      </c>
    </row>
    <row r="29" spans="1:8" s="945" customFormat="1" x14ac:dyDescent="0.2">
      <c r="A29" s="272">
        <v>4</v>
      </c>
      <c r="B29" s="1035" t="s">
        <v>67</v>
      </c>
      <c r="C29" s="545">
        <v>10</v>
      </c>
      <c r="D29" s="545">
        <v>13</v>
      </c>
      <c r="E29" s="545">
        <v>13</v>
      </c>
      <c r="F29" s="1007"/>
      <c r="G29" s="1033" t="s">
        <v>258</v>
      </c>
      <c r="H29" s="1034" t="s">
        <v>146</v>
      </c>
    </row>
    <row r="30" spans="1:8" s="945" customFormat="1" x14ac:dyDescent="0.2"/>
    <row r="31" spans="1:8" s="945" customFormat="1" x14ac:dyDescent="0.2">
      <c r="B31" s="1008" t="s">
        <v>236</v>
      </c>
      <c r="C31" s="385" t="s">
        <v>237</v>
      </c>
      <c r="D31" s="385" t="s">
        <v>238</v>
      </c>
    </row>
    <row r="32" spans="1:8" s="945" customFormat="1" x14ac:dyDescent="0.2">
      <c r="B32" s="1008" t="s">
        <v>239</v>
      </c>
      <c r="C32" s="385" t="s">
        <v>240</v>
      </c>
      <c r="D32" s="385" t="s">
        <v>241</v>
      </c>
    </row>
    <row r="33" spans="1:11" s="945" customFormat="1" x14ac:dyDescent="0.2">
      <c r="B33" s="1008" t="s">
        <v>242</v>
      </c>
      <c r="C33" s="385" t="s">
        <v>243</v>
      </c>
      <c r="D33" s="385" t="s">
        <v>244</v>
      </c>
    </row>
    <row r="34" spans="1:11" s="945" customFormat="1" x14ac:dyDescent="0.2">
      <c r="B34" s="1008"/>
      <c r="C34" s="385"/>
      <c r="D34" s="385"/>
    </row>
    <row r="35" spans="1:11" s="945" customFormat="1" x14ac:dyDescent="0.2">
      <c r="A35" s="1011" t="s">
        <v>245</v>
      </c>
      <c r="B35" s="1012"/>
      <c r="C35" s="1012"/>
      <c r="D35" s="1012"/>
      <c r="E35" s="1012"/>
      <c r="F35" s="1012"/>
      <c r="G35" s="1012"/>
      <c r="H35" s="1012"/>
      <c r="I35" s="1012"/>
      <c r="J35" s="1012"/>
      <c r="K35" s="1012"/>
    </row>
    <row r="36" spans="1:11" s="945" customFormat="1" x14ac:dyDescent="0.2">
      <c r="A36" s="1011"/>
      <c r="B36" s="1012"/>
      <c r="C36" s="1012"/>
      <c r="D36" s="1012"/>
      <c r="E36" s="1012"/>
      <c r="F36" s="1012"/>
      <c r="G36" s="1012"/>
      <c r="H36" s="1012"/>
      <c r="I36" s="1012"/>
      <c r="J36" s="1012"/>
      <c r="K36" s="1012"/>
    </row>
    <row r="37" spans="1:11" s="945" customFormat="1" x14ac:dyDescent="0.2">
      <c r="A37" s="1013" t="s">
        <v>247</v>
      </c>
      <c r="B37" s="1012" t="s">
        <v>68</v>
      </c>
      <c r="C37" s="1014">
        <v>13</v>
      </c>
      <c r="D37" s="1012"/>
      <c r="E37" s="1012"/>
      <c r="F37" s="1012"/>
      <c r="G37" s="1012"/>
      <c r="H37" s="1012"/>
      <c r="I37" s="1012"/>
      <c r="J37" s="1012"/>
      <c r="K37" s="1012"/>
    </row>
    <row r="38" spans="1:11" s="945" customFormat="1" x14ac:dyDescent="0.2">
      <c r="A38" s="1012"/>
      <c r="B38" s="1015"/>
      <c r="C38" s="1016" t="s">
        <v>68</v>
      </c>
      <c r="D38" s="1017"/>
      <c r="E38" s="1012"/>
      <c r="F38" s="1014">
        <v>12</v>
      </c>
      <c r="G38" s="1012"/>
      <c r="H38" s="1012"/>
      <c r="I38" s="1012"/>
      <c r="J38" s="1012"/>
      <c r="K38" s="1012"/>
    </row>
    <row r="39" spans="1:11" s="945" customFormat="1" x14ac:dyDescent="0.2">
      <c r="A39" s="1013" t="s">
        <v>253</v>
      </c>
      <c r="B39" s="1018" t="s">
        <v>67</v>
      </c>
      <c r="C39" s="1019">
        <v>9</v>
      </c>
      <c r="D39" s="1012"/>
      <c r="E39" s="1020"/>
      <c r="F39" s="1012"/>
      <c r="G39" s="1012"/>
      <c r="H39" s="1012"/>
      <c r="I39" s="1012"/>
      <c r="J39" s="1012"/>
      <c r="K39" s="1012"/>
    </row>
    <row r="40" spans="1:11" s="945" customFormat="1" x14ac:dyDescent="0.2">
      <c r="A40" s="1012"/>
      <c r="B40" s="1012"/>
      <c r="C40" s="1012"/>
      <c r="D40" s="1021"/>
      <c r="E40" s="1022"/>
      <c r="F40" s="1012" t="s">
        <v>45</v>
      </c>
      <c r="G40" s="1012"/>
      <c r="H40" s="1012"/>
      <c r="I40" s="1014">
        <v>7</v>
      </c>
      <c r="J40" s="1012"/>
      <c r="K40" s="1012"/>
    </row>
    <row r="41" spans="1:11" s="945" customFormat="1" x14ac:dyDescent="0.2">
      <c r="A41" s="1013" t="s">
        <v>246</v>
      </c>
      <c r="B41" s="1023" t="s">
        <v>45</v>
      </c>
      <c r="C41" s="1024">
        <v>13</v>
      </c>
      <c r="D41" s="1012"/>
      <c r="E41" s="1022"/>
      <c r="F41" s="1015"/>
      <c r="G41" s="1015"/>
      <c r="H41" s="1020"/>
      <c r="I41" s="1012"/>
      <c r="J41" s="1012"/>
      <c r="K41" s="1012"/>
    </row>
    <row r="42" spans="1:11" s="945" customFormat="1" x14ac:dyDescent="0.2">
      <c r="A42" s="1012"/>
      <c r="B42" s="1015"/>
      <c r="C42" s="1025" t="s">
        <v>45</v>
      </c>
      <c r="D42" s="1012"/>
      <c r="E42" s="1026"/>
      <c r="F42" s="1024">
        <v>13</v>
      </c>
      <c r="G42" s="1021"/>
      <c r="H42" s="1022"/>
      <c r="I42" s="1012"/>
      <c r="J42" s="1012"/>
      <c r="K42" s="1012"/>
    </row>
    <row r="43" spans="1:11" s="945" customFormat="1" x14ac:dyDescent="0.2">
      <c r="A43" s="1013" t="s">
        <v>254</v>
      </c>
      <c r="B43" s="1018" t="s">
        <v>339</v>
      </c>
      <c r="C43" s="1027">
        <v>6</v>
      </c>
      <c r="D43" s="1015"/>
      <c r="E43" s="1012"/>
      <c r="F43" s="1021"/>
      <c r="G43" s="1021"/>
      <c r="H43" s="1022"/>
      <c r="I43" s="1012"/>
      <c r="J43" s="1012"/>
      <c r="K43" s="1012"/>
    </row>
    <row r="44" spans="1:11" s="945" customFormat="1" ht="13.5" thickBot="1" x14ac:dyDescent="0.25">
      <c r="A44" s="1012"/>
      <c r="B44" s="1012"/>
      <c r="C44" s="1012"/>
      <c r="D44" s="1012"/>
      <c r="E44" s="1012"/>
      <c r="F44" s="1021"/>
      <c r="G44" s="1021"/>
      <c r="H44" s="1022"/>
      <c r="I44" s="1012"/>
      <c r="J44" s="1012" t="s">
        <v>49</v>
      </c>
      <c r="K44" s="1012"/>
    </row>
    <row r="45" spans="1:11" s="945" customFormat="1" x14ac:dyDescent="0.2">
      <c r="A45" s="1013" t="s">
        <v>252</v>
      </c>
      <c r="B45" s="1012" t="s">
        <v>81</v>
      </c>
      <c r="C45" s="1014">
        <v>13</v>
      </c>
      <c r="D45" s="1012"/>
      <c r="E45" s="1012"/>
      <c r="F45" s="1021"/>
      <c r="G45" s="1021"/>
      <c r="H45" s="1022"/>
      <c r="I45" s="1028"/>
      <c r="J45" s="1029" t="s">
        <v>148</v>
      </c>
      <c r="K45" s="1030"/>
    </row>
    <row r="46" spans="1:11" s="945" customFormat="1" x14ac:dyDescent="0.2">
      <c r="A46" s="1012"/>
      <c r="B46" s="1015"/>
      <c r="C46" s="1016" t="s">
        <v>81</v>
      </c>
      <c r="D46" s="1017"/>
      <c r="E46" s="1012"/>
      <c r="F46" s="1024">
        <v>12</v>
      </c>
      <c r="G46" s="1021"/>
      <c r="H46" s="1022"/>
      <c r="I46" s="1012"/>
      <c r="J46" s="1012"/>
      <c r="K46" s="1021"/>
    </row>
    <row r="47" spans="1:11" s="945" customFormat="1" ht="13.5" thickBot="1" x14ac:dyDescent="0.25">
      <c r="A47" s="1013" t="s">
        <v>248</v>
      </c>
      <c r="B47" s="1017" t="s">
        <v>59</v>
      </c>
      <c r="C47" s="1019">
        <v>2</v>
      </c>
      <c r="D47" s="1012"/>
      <c r="E47" s="1020"/>
      <c r="F47" s="1021"/>
      <c r="G47" s="1021"/>
      <c r="H47" s="1022"/>
      <c r="I47" s="1012"/>
      <c r="J47" s="1031" t="s">
        <v>45</v>
      </c>
      <c r="K47" s="1031"/>
    </row>
    <row r="48" spans="1:11" s="945" customFormat="1" x14ac:dyDescent="0.2">
      <c r="A48" s="1012"/>
      <c r="B48" s="1012"/>
      <c r="C48" s="1012"/>
      <c r="D48" s="1021"/>
      <c r="E48" s="1022"/>
      <c r="F48" s="1017" t="s">
        <v>49</v>
      </c>
      <c r="G48" s="1017"/>
      <c r="H48" s="1026"/>
      <c r="I48" s="1014">
        <v>13</v>
      </c>
      <c r="J48" s="1029" t="s">
        <v>149</v>
      </c>
      <c r="K48" s="1012"/>
    </row>
    <row r="49" spans="1:11" s="945" customFormat="1" x14ac:dyDescent="0.2">
      <c r="A49" s="1013" t="s">
        <v>251</v>
      </c>
      <c r="B49" s="1012" t="s">
        <v>50</v>
      </c>
      <c r="C49" s="1024">
        <v>7</v>
      </c>
      <c r="D49" s="1012"/>
      <c r="E49" s="1022"/>
      <c r="F49" s="1012"/>
      <c r="G49" s="1012"/>
      <c r="H49" s="1012"/>
      <c r="I49" s="1012"/>
      <c r="J49" s="1012"/>
      <c r="K49" s="1012"/>
    </row>
    <row r="50" spans="1:11" s="945" customFormat="1" x14ac:dyDescent="0.2">
      <c r="A50" s="1012"/>
      <c r="B50" s="1015"/>
      <c r="C50" s="1025" t="s">
        <v>49</v>
      </c>
      <c r="D50" s="1012"/>
      <c r="E50" s="1026"/>
      <c r="F50" s="1014">
        <v>13</v>
      </c>
      <c r="G50" s="1012"/>
      <c r="H50" s="1012"/>
      <c r="I50" s="1012"/>
      <c r="J50" s="1012"/>
      <c r="K50" s="1012"/>
    </row>
    <row r="51" spans="1:11" s="945" customFormat="1" x14ac:dyDescent="0.2">
      <c r="A51" s="1013" t="s">
        <v>249</v>
      </c>
      <c r="B51" s="1017" t="s">
        <v>49</v>
      </c>
      <c r="C51" s="1027">
        <v>13</v>
      </c>
      <c r="D51" s="1015"/>
      <c r="E51" s="1012"/>
      <c r="F51" s="1012"/>
      <c r="G51" s="1012"/>
      <c r="H51" s="1012"/>
      <c r="I51" s="1012"/>
      <c r="J51" s="1012"/>
      <c r="K51" s="1012"/>
    </row>
    <row r="52" spans="1:11" s="945" customFormat="1" x14ac:dyDescent="0.2">
      <c r="A52" s="1012"/>
      <c r="B52" s="1012"/>
      <c r="C52" s="1012"/>
      <c r="D52" s="1012"/>
      <c r="E52" s="1012"/>
      <c r="F52" s="1012" t="s">
        <v>68</v>
      </c>
      <c r="G52" s="1012"/>
      <c r="H52" s="1012"/>
      <c r="I52" s="1024">
        <v>13</v>
      </c>
      <c r="J52" s="1021"/>
      <c r="K52" s="1012"/>
    </row>
    <row r="53" spans="1:11" s="945" customFormat="1" ht="13.5" thickBot="1" x14ac:dyDescent="0.25">
      <c r="A53" s="1012"/>
      <c r="B53" s="1012"/>
      <c r="C53" s="1012"/>
      <c r="D53" s="1012"/>
      <c r="E53" s="1012"/>
      <c r="F53" s="1015"/>
      <c r="G53" s="1015"/>
      <c r="H53" s="1020"/>
      <c r="I53" s="1031"/>
      <c r="J53" s="1031" t="s">
        <v>68</v>
      </c>
      <c r="K53" s="1012"/>
    </row>
    <row r="54" spans="1:11" s="945" customFormat="1" x14ac:dyDescent="0.2">
      <c r="A54" s="1012"/>
      <c r="B54" s="1012"/>
      <c r="C54" s="1012"/>
      <c r="D54" s="1012"/>
      <c r="E54" s="1012"/>
      <c r="F54" s="1017" t="s">
        <v>81</v>
      </c>
      <c r="G54" s="1017"/>
      <c r="H54" s="1026"/>
      <c r="I54" s="1014">
        <v>8</v>
      </c>
      <c r="J54" s="1032" t="s">
        <v>150</v>
      </c>
      <c r="K54" s="1030"/>
    </row>
    <row r="55" spans="1:11" s="945" customFormat="1" x14ac:dyDescent="0.2">
      <c r="A55" s="1012"/>
      <c r="B55" s="1012"/>
      <c r="C55" s="1012"/>
      <c r="D55" s="1012"/>
      <c r="E55" s="1012"/>
      <c r="F55" s="1012"/>
      <c r="G55" s="1012"/>
      <c r="H55" s="1012"/>
      <c r="I55" s="1012"/>
      <c r="J55" s="1021"/>
      <c r="K55" s="1021"/>
    </row>
    <row r="56" spans="1:11" s="945" customFormat="1" ht="13.5" thickBot="1" x14ac:dyDescent="0.25">
      <c r="A56" s="1012"/>
      <c r="B56" s="1012"/>
      <c r="C56" s="1012"/>
      <c r="D56" s="1012"/>
      <c r="E56" s="1012"/>
      <c r="F56" s="1012"/>
      <c r="G56" s="1021"/>
      <c r="H56" s="1021"/>
      <c r="I56" s="1012"/>
      <c r="J56" s="1031" t="s">
        <v>81</v>
      </c>
      <c r="K56" s="1031"/>
    </row>
    <row r="57" spans="1:11" s="945" customFormat="1" x14ac:dyDescent="0.2">
      <c r="A57" s="1012"/>
      <c r="B57" s="1012"/>
      <c r="C57" s="1012" t="s">
        <v>67</v>
      </c>
      <c r="D57" s="1012"/>
      <c r="E57" s="1012"/>
      <c r="F57" s="1014">
        <v>3</v>
      </c>
      <c r="G57" s="1012"/>
      <c r="H57" s="1012"/>
      <c r="I57" s="1012"/>
      <c r="J57" s="1013" t="s">
        <v>151</v>
      </c>
      <c r="K57" s="1012"/>
    </row>
    <row r="58" spans="1:11" s="945" customFormat="1" x14ac:dyDescent="0.2">
      <c r="A58" s="1012"/>
      <c r="B58" s="1012"/>
      <c r="C58" s="1015"/>
      <c r="D58" s="1015"/>
      <c r="E58" s="1020"/>
      <c r="F58" s="1016" t="s">
        <v>339</v>
      </c>
      <c r="G58" s="1017"/>
      <c r="H58" s="1017"/>
      <c r="I58" s="1014">
        <v>13</v>
      </c>
      <c r="J58" s="1012"/>
      <c r="K58" s="1012"/>
    </row>
    <row r="59" spans="1:11" s="945" customFormat="1" x14ac:dyDescent="0.2">
      <c r="A59" s="1012"/>
      <c r="B59" s="1012"/>
      <c r="C59" s="1017" t="s">
        <v>339</v>
      </c>
      <c r="D59" s="1017"/>
      <c r="E59" s="1026"/>
      <c r="F59" s="1019">
        <v>13</v>
      </c>
      <c r="G59" s="1012"/>
      <c r="H59" s="1022"/>
      <c r="I59" s="1012"/>
      <c r="J59" s="1012"/>
      <c r="K59" s="1012"/>
    </row>
    <row r="60" spans="1:11" s="945" customFormat="1" ht="13.5" thickBot="1" x14ac:dyDescent="0.25">
      <c r="A60" s="1012"/>
      <c r="B60" s="1012"/>
      <c r="C60" s="1012"/>
      <c r="D60" s="1012"/>
      <c r="E60" s="1012"/>
      <c r="F60" s="1021"/>
      <c r="G60" s="1012"/>
      <c r="H60" s="1022"/>
      <c r="I60" s="1012"/>
      <c r="J60" s="1012" t="s">
        <v>339</v>
      </c>
      <c r="K60" s="1012"/>
    </row>
    <row r="61" spans="1:11" s="945" customFormat="1" x14ac:dyDescent="0.2">
      <c r="A61" s="1012"/>
      <c r="B61" s="1012"/>
      <c r="C61" s="1012" t="s">
        <v>59</v>
      </c>
      <c r="D61" s="1012"/>
      <c r="E61" s="1012"/>
      <c r="F61" s="1024">
        <v>13</v>
      </c>
      <c r="G61" s="1012"/>
      <c r="H61" s="1022"/>
      <c r="I61" s="1028"/>
      <c r="J61" s="1029" t="s">
        <v>152</v>
      </c>
      <c r="K61" s="1030"/>
    </row>
    <row r="62" spans="1:11" s="945" customFormat="1" x14ac:dyDescent="0.2">
      <c r="A62" s="1012"/>
      <c r="B62" s="1012"/>
      <c r="C62" s="1015"/>
      <c r="D62" s="1015"/>
      <c r="E62" s="1020"/>
      <c r="F62" s="1025" t="s">
        <v>59</v>
      </c>
      <c r="G62" s="1012"/>
      <c r="H62" s="1026"/>
      <c r="I62" s="1024">
        <v>7</v>
      </c>
      <c r="J62" s="1012"/>
      <c r="K62" s="1021"/>
    </row>
    <row r="63" spans="1:11" s="945" customFormat="1" ht="13.5" thickBot="1" x14ac:dyDescent="0.25">
      <c r="A63" s="1012"/>
      <c r="B63" s="1012"/>
      <c r="C63" s="1017" t="s">
        <v>50</v>
      </c>
      <c r="D63" s="1017"/>
      <c r="E63" s="1026"/>
      <c r="F63" s="1027">
        <v>5</v>
      </c>
      <c r="G63" s="1015"/>
      <c r="H63" s="1012"/>
      <c r="I63" s="1021"/>
      <c r="J63" s="1021" t="s">
        <v>59</v>
      </c>
      <c r="K63" s="1031"/>
    </row>
    <row r="64" spans="1:11" s="945" customFormat="1" x14ac:dyDescent="0.2">
      <c r="A64" s="1012"/>
      <c r="B64" s="1012"/>
      <c r="C64" s="1012"/>
      <c r="D64" s="1012"/>
      <c r="E64" s="1012"/>
      <c r="F64" s="1012"/>
      <c r="G64" s="1012"/>
      <c r="H64" s="1012"/>
      <c r="I64" s="1021"/>
      <c r="J64" s="1029" t="s">
        <v>153</v>
      </c>
      <c r="K64" s="1012"/>
    </row>
    <row r="65" spans="1:11" s="945" customFormat="1" x14ac:dyDescent="0.2">
      <c r="A65" s="1012"/>
      <c r="B65" s="1012"/>
      <c r="C65" s="1012"/>
      <c r="D65" s="1012"/>
      <c r="E65" s="1012"/>
      <c r="F65" s="1012" t="s">
        <v>67</v>
      </c>
      <c r="G65" s="1012"/>
      <c r="H65" s="1012"/>
      <c r="I65" s="1024">
        <v>8</v>
      </c>
      <c r="J65" s="1021"/>
      <c r="K65" s="1012"/>
    </row>
    <row r="66" spans="1:11" s="945" customFormat="1" ht="13.5" thickBot="1" x14ac:dyDescent="0.25">
      <c r="A66" s="1012"/>
      <c r="B66" s="1012"/>
      <c r="C66" s="1012"/>
      <c r="D66" s="1012"/>
      <c r="E66" s="1012"/>
      <c r="F66" s="1015"/>
      <c r="G66" s="1015"/>
      <c r="H66" s="1020"/>
      <c r="I66" s="1031"/>
      <c r="J66" s="1031" t="s">
        <v>50</v>
      </c>
      <c r="K66" s="1012"/>
    </row>
    <row r="67" spans="1:11" s="945" customFormat="1" x14ac:dyDescent="0.2">
      <c r="A67" s="1012"/>
      <c r="B67" s="1012"/>
      <c r="C67" s="1012"/>
      <c r="D67" s="1012"/>
      <c r="E67" s="1012"/>
      <c r="F67" s="1017" t="s">
        <v>50</v>
      </c>
      <c r="G67" s="1017"/>
      <c r="H67" s="1026"/>
      <c r="I67" s="1014">
        <v>13</v>
      </c>
      <c r="J67" s="1032" t="s">
        <v>154</v>
      </c>
      <c r="K67" s="1030"/>
    </row>
    <row r="68" spans="1:11" s="945" customFormat="1" x14ac:dyDescent="0.2">
      <c r="A68" s="1012"/>
      <c r="B68" s="1012"/>
      <c r="C68" s="1012"/>
      <c r="D68" s="1012"/>
      <c r="E68" s="1012"/>
      <c r="F68" s="1012"/>
      <c r="G68" s="1012"/>
      <c r="H68" s="1012"/>
      <c r="I68" s="1012"/>
      <c r="J68" s="1021"/>
      <c r="K68" s="1021"/>
    </row>
    <row r="69" spans="1:11" s="945" customFormat="1" ht="13.5" thickBot="1" x14ac:dyDescent="0.25">
      <c r="A69" s="1012"/>
      <c r="B69" s="1012"/>
      <c r="C69" s="1012"/>
      <c r="D69" s="1012"/>
      <c r="E69" s="1012"/>
      <c r="F69" s="1012"/>
      <c r="G69" s="1021"/>
      <c r="H69" s="1021"/>
      <c r="I69" s="1012"/>
      <c r="J69" s="1031" t="s">
        <v>67</v>
      </c>
      <c r="K69" s="1031"/>
    </row>
    <row r="70" spans="1:11" s="945" customFormat="1" x14ac:dyDescent="0.2">
      <c r="A70" s="1012"/>
      <c r="B70" s="1012"/>
      <c r="C70" s="1012"/>
      <c r="D70" s="1012"/>
      <c r="E70" s="1012"/>
      <c r="F70" s="1012"/>
      <c r="G70" s="1021"/>
      <c r="H70" s="1021"/>
      <c r="I70" s="1012"/>
      <c r="J70" s="1013" t="s">
        <v>155</v>
      </c>
      <c r="K70" s="1012"/>
    </row>
    <row r="71" spans="1:11" s="945" customFormat="1" x14ac:dyDescent="0.2">
      <c r="A71" s="1012"/>
      <c r="B71" s="1012"/>
      <c r="C71" s="1012"/>
      <c r="D71" s="1012"/>
      <c r="E71" s="1012"/>
      <c r="F71" s="1012"/>
      <c r="G71" s="1021"/>
      <c r="H71" s="1021"/>
      <c r="I71" s="1012"/>
      <c r="J71" s="1013"/>
      <c r="K71" s="1012"/>
    </row>
    <row r="72" spans="1:11" s="945" customFormat="1" x14ac:dyDescent="0.2">
      <c r="A72" s="1011" t="s">
        <v>598</v>
      </c>
      <c r="B72" s="1012"/>
      <c r="C72" s="1012"/>
      <c r="D72" s="1012"/>
      <c r="E72" s="1012"/>
      <c r="F72" s="1012"/>
      <c r="G72" s="1021"/>
      <c r="H72" s="1021"/>
      <c r="I72" s="1012"/>
      <c r="J72" s="1013"/>
      <c r="K72" s="1012"/>
    </row>
    <row r="73" spans="1:11" s="945" customFormat="1" x14ac:dyDescent="0.2">
      <c r="A73" s="1012"/>
      <c r="B73" s="1012"/>
      <c r="C73" s="1012"/>
      <c r="D73" s="1012"/>
      <c r="E73" s="1012"/>
      <c r="F73" s="1012"/>
      <c r="G73" s="1021"/>
      <c r="H73" s="1021"/>
      <c r="I73" s="1012"/>
      <c r="J73" s="1013"/>
      <c r="K73" s="1012"/>
    </row>
    <row r="74" spans="1:11" s="945" customFormat="1" x14ac:dyDescent="0.2">
      <c r="A74" s="272"/>
      <c r="B74" s="272"/>
      <c r="C74" s="381">
        <v>1</v>
      </c>
      <c r="D74" s="381">
        <v>2</v>
      </c>
      <c r="E74" s="381">
        <v>3</v>
      </c>
      <c r="F74" s="381">
        <v>4</v>
      </c>
      <c r="G74" s="381" t="s">
        <v>235</v>
      </c>
      <c r="H74" s="381" t="s">
        <v>86</v>
      </c>
    </row>
    <row r="75" spans="1:11" s="945" customFormat="1" x14ac:dyDescent="0.2">
      <c r="A75" s="272">
        <v>1</v>
      </c>
      <c r="B75" s="755" t="s">
        <v>47</v>
      </c>
      <c r="C75" s="1007"/>
      <c r="D75" s="545">
        <v>9</v>
      </c>
      <c r="E75" s="545">
        <v>13</v>
      </c>
      <c r="F75" s="545">
        <v>13</v>
      </c>
      <c r="G75" s="1033" t="s">
        <v>258</v>
      </c>
      <c r="H75" s="1034" t="s">
        <v>146</v>
      </c>
      <c r="J75" s="11" t="s">
        <v>157</v>
      </c>
    </row>
    <row r="76" spans="1:11" s="945" customFormat="1" x14ac:dyDescent="0.2">
      <c r="A76" s="272">
        <v>2</v>
      </c>
      <c r="B76" s="755" t="s">
        <v>44</v>
      </c>
      <c r="C76" s="545">
        <v>13</v>
      </c>
      <c r="D76" s="1007"/>
      <c r="E76" s="545">
        <v>12</v>
      </c>
      <c r="F76" s="545">
        <v>13</v>
      </c>
      <c r="G76" s="1033" t="s">
        <v>258</v>
      </c>
      <c r="H76" s="1034" t="s">
        <v>259</v>
      </c>
      <c r="J76" s="11" t="s">
        <v>156</v>
      </c>
    </row>
    <row r="77" spans="1:11" s="945" customFormat="1" x14ac:dyDescent="0.2">
      <c r="A77" s="272">
        <v>3</v>
      </c>
      <c r="B77" s="755" t="s">
        <v>46</v>
      </c>
      <c r="C77" s="545">
        <v>8</v>
      </c>
      <c r="D77" s="550">
        <v>13</v>
      </c>
      <c r="E77" s="1007"/>
      <c r="F77" s="545">
        <v>9</v>
      </c>
      <c r="G77" s="1033" t="s">
        <v>335</v>
      </c>
      <c r="H77" s="550" t="s">
        <v>261</v>
      </c>
      <c r="J77" s="11" t="s">
        <v>159</v>
      </c>
    </row>
    <row r="78" spans="1:11" s="945" customFormat="1" x14ac:dyDescent="0.2">
      <c r="A78" s="272">
        <v>4</v>
      </c>
      <c r="B78" s="755" t="s">
        <v>57</v>
      </c>
      <c r="C78" s="545">
        <v>8</v>
      </c>
      <c r="D78" s="545">
        <v>12</v>
      </c>
      <c r="E78" s="545">
        <v>13</v>
      </c>
      <c r="F78" s="1007"/>
      <c r="G78" s="1033" t="s">
        <v>335</v>
      </c>
      <c r="H78" s="1034" t="s">
        <v>260</v>
      </c>
      <c r="J78" s="11" t="s">
        <v>158</v>
      </c>
    </row>
    <row r="79" spans="1:11" s="945" customFormat="1" x14ac:dyDescent="0.2">
      <c r="A79" s="273"/>
      <c r="B79" s="34"/>
      <c r="C79" s="384"/>
      <c r="D79" s="384"/>
      <c r="E79" s="384"/>
      <c r="F79" s="275"/>
      <c r="G79" s="1038"/>
      <c r="H79" s="1039"/>
      <c r="J79" s="11"/>
    </row>
    <row r="80" spans="1:11" s="945" customFormat="1" x14ac:dyDescent="0.2">
      <c r="B80" s="1008"/>
      <c r="C80" s="385"/>
      <c r="D80" s="385"/>
    </row>
    <row r="81" spans="1:2" x14ac:dyDescent="0.2">
      <c r="A81" s="30">
        <v>1</v>
      </c>
      <c r="B81" s="32" t="s">
        <v>49</v>
      </c>
    </row>
    <row r="82" spans="1:2" x14ac:dyDescent="0.2">
      <c r="A82" s="30">
        <v>2</v>
      </c>
      <c r="B82" s="202" t="s">
        <v>45</v>
      </c>
    </row>
    <row r="83" spans="1:2" x14ac:dyDescent="0.2">
      <c r="A83" s="30">
        <v>3</v>
      </c>
      <c r="B83" s="203" t="s">
        <v>68</v>
      </c>
    </row>
    <row r="84" spans="1:2" x14ac:dyDescent="0.2">
      <c r="A84" s="30">
        <v>4</v>
      </c>
      <c r="B84" s="201" t="s">
        <v>81</v>
      </c>
    </row>
    <row r="85" spans="1:2" x14ac:dyDescent="0.2">
      <c r="A85" s="30">
        <v>5</v>
      </c>
      <c r="B85" s="201" t="s">
        <v>339</v>
      </c>
    </row>
    <row r="86" spans="1:2" x14ac:dyDescent="0.2">
      <c r="A86" s="30">
        <v>6</v>
      </c>
      <c r="B86" s="201" t="s">
        <v>59</v>
      </c>
    </row>
    <row r="87" spans="1:2" x14ac:dyDescent="0.2">
      <c r="A87" s="30">
        <v>7</v>
      </c>
      <c r="B87" s="201" t="s">
        <v>50</v>
      </c>
    </row>
    <row r="88" spans="1:2" x14ac:dyDescent="0.2">
      <c r="A88" s="30">
        <v>8</v>
      </c>
      <c r="B88" s="201" t="s">
        <v>67</v>
      </c>
    </row>
    <row r="89" spans="1:2" x14ac:dyDescent="0.2">
      <c r="A89" s="30">
        <v>9</v>
      </c>
      <c r="B89" s="201" t="s">
        <v>44</v>
      </c>
    </row>
    <row r="90" spans="1:2" x14ac:dyDescent="0.2">
      <c r="A90" s="30">
        <v>10</v>
      </c>
      <c r="B90" s="201" t="s">
        <v>47</v>
      </c>
    </row>
    <row r="91" spans="1:2" x14ac:dyDescent="0.2">
      <c r="A91" s="30">
        <v>11</v>
      </c>
      <c r="B91" s="201" t="s">
        <v>57</v>
      </c>
    </row>
    <row r="92" spans="1:2" x14ac:dyDescent="0.2">
      <c r="A92" s="30">
        <v>12</v>
      </c>
      <c r="B92" s="201" t="s">
        <v>46</v>
      </c>
    </row>
    <row r="93" spans="1:2" x14ac:dyDescent="0.2">
      <c r="A93" s="30">
        <v>13</v>
      </c>
      <c r="B93" s="201" t="s">
        <v>54</v>
      </c>
    </row>
  </sheetData>
  <conditionalFormatting sqref="B7">
    <cfRule type="duplicateValues" dxfId="49" priority="4" stopIfTrue="1"/>
  </conditionalFormatting>
  <conditionalFormatting sqref="C7:E23 C80:H80">
    <cfRule type="cellIs" dxfId="48" priority="3" stopIfTrue="1" operator="equal">
      <formula>13</formula>
    </cfRule>
  </conditionalFormatting>
  <conditionalFormatting sqref="C25:H34">
    <cfRule type="cellIs" dxfId="47" priority="2" stopIfTrue="1" operator="equal">
      <formula>13</formula>
    </cfRule>
  </conditionalFormatting>
  <conditionalFormatting sqref="C35:I79">
    <cfRule type="cellIs" dxfId="46" priority="1" stopIfTrue="1" operator="equal">
      <formula>13</formula>
    </cfRule>
  </conditionalFormatting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&amp;R&amp;"Arial,Regular"&amp;9Page &amp;P of &amp;N</oddHeader>
  </headerFooter>
  <rowBreaks count="2" manualBreakCount="2">
    <brk id="33" max="16383" man="1"/>
    <brk id="7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R53"/>
  <sheetViews>
    <sheetView showGridLines="0" showRowColHeaders="0" zoomScaleNormal="100" workbookViewId="0">
      <pane ySplit="7" topLeftCell="A8" activePane="bottomLeft" state="frozen"/>
      <selection activeCell="P1" sqref="P1"/>
      <selection pane="bottomLeft" activeCell="J1" sqref="J1"/>
    </sheetView>
  </sheetViews>
  <sheetFormatPr defaultRowHeight="12.75" x14ac:dyDescent="0.2"/>
  <cols>
    <col min="1" max="1" width="3" style="519" customWidth="1"/>
    <col min="2" max="2" width="23" style="518" customWidth="1"/>
    <col min="3" max="3" width="4.7109375" style="533" customWidth="1"/>
    <col min="4" max="11" width="4" style="519" customWidth="1"/>
    <col min="12" max="12" width="4" style="519" bestFit="1" customWidth="1"/>
    <col min="13" max="13" width="4.28515625" style="519" bestFit="1" customWidth="1"/>
    <col min="14" max="14" width="7.85546875" style="519" customWidth="1"/>
    <col min="15" max="15" width="5.42578125" style="519" bestFit="1" customWidth="1"/>
    <col min="16" max="16" width="3.28515625" style="518" bestFit="1" customWidth="1"/>
    <col min="17" max="18" width="3.28515625" style="518" customWidth="1"/>
    <col min="19" max="19" width="1.7109375" style="518" customWidth="1"/>
    <col min="20" max="16384" width="9.140625" style="518"/>
  </cols>
  <sheetData>
    <row r="1" spans="1:18" x14ac:dyDescent="0.2">
      <c r="A1" s="246" t="s">
        <v>586</v>
      </c>
      <c r="B1" s="247"/>
      <c r="C1" s="517"/>
      <c r="D1" s="517"/>
      <c r="E1" s="517"/>
      <c r="F1" s="517"/>
      <c r="G1" s="517"/>
      <c r="H1" s="517"/>
      <c r="I1" s="517"/>
      <c r="J1" s="517"/>
      <c r="K1" s="517"/>
      <c r="L1" s="518"/>
      <c r="M1" s="518"/>
      <c r="N1" s="518"/>
      <c r="P1" s="520" t="s">
        <v>31</v>
      </c>
      <c r="Q1" s="520"/>
      <c r="R1" s="725"/>
    </row>
    <row r="2" spans="1:18" x14ac:dyDescent="0.2">
      <c r="A2" s="722" t="s">
        <v>587</v>
      </c>
      <c r="B2" s="24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P2" s="521" t="s">
        <v>32</v>
      </c>
      <c r="Q2" s="521"/>
    </row>
    <row r="3" spans="1:18" x14ac:dyDescent="0.2">
      <c r="A3" s="722" t="s">
        <v>588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P3" s="522" t="s">
        <v>33</v>
      </c>
      <c r="Q3" s="522"/>
    </row>
    <row r="4" spans="1:18" ht="15" customHeight="1" x14ac:dyDescent="0.2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23"/>
      <c r="Q4" s="523"/>
    </row>
    <row r="5" spans="1:18" ht="29.25" x14ac:dyDescent="0.2">
      <c r="A5" s="524"/>
      <c r="B5" s="524"/>
      <c r="C5" s="944" t="s">
        <v>20</v>
      </c>
      <c r="D5" s="724" t="str">
        <f>MID(Kalend!A6,4,5)</f>
        <v>04.05</v>
      </c>
      <c r="E5" s="724" t="str">
        <f>MID(Kalend!A11,4,5)</f>
        <v>25.05</v>
      </c>
      <c r="F5" s="724" t="str">
        <f>MID(Kalend!A14,4,5)</f>
        <v>01.06</v>
      </c>
      <c r="G5" s="724" t="str">
        <f>MID(Kalend!A18,4,5)</f>
        <v>22.06</v>
      </c>
      <c r="H5" s="724" t="str">
        <f>MID(Kalend!A22,4,5)</f>
        <v>06.07</v>
      </c>
      <c r="I5" s="724" t="str">
        <f>MID(Kalend!A24,4,5)</f>
        <v>20.07</v>
      </c>
      <c r="J5" s="724" t="str">
        <f>MID(Kalend!A28,4,5)</f>
        <v>03.08</v>
      </c>
      <c r="K5" s="724" t="str">
        <f>MID(Kalend!A32,4,5)</f>
        <v>17.08</v>
      </c>
      <c r="L5" s="724" t="str">
        <f>MID(Kalend!A36,4,5)</f>
        <v>07.09</v>
      </c>
      <c r="M5" s="724" t="str">
        <f>MID(Kalend!A39,4,5)</f>
        <v>21.09</v>
      </c>
      <c r="N5" s="723"/>
      <c r="O5" s="1214" t="str">
        <f>MID(Kalend!A43,4,5)</f>
        <v>02.10</v>
      </c>
      <c r="P5" s="1397" t="s">
        <v>88</v>
      </c>
      <c r="Q5" s="1397" t="s">
        <v>34</v>
      </c>
      <c r="R5" s="1398" t="s">
        <v>35</v>
      </c>
    </row>
    <row r="6" spans="1:18" x14ac:dyDescent="0.2">
      <c r="A6" s="524"/>
      <c r="B6" s="524"/>
      <c r="C6" s="944" t="s">
        <v>20</v>
      </c>
      <c r="D6" s="949" t="str">
        <f>HYPERLINK("#V1!K1","V1")</f>
        <v>V1</v>
      </c>
      <c r="E6" s="949" t="str">
        <f>HYPERLINK("#V2!H1","V2")</f>
        <v>V2</v>
      </c>
      <c r="F6" s="949" t="str">
        <f>HYPERLINK("#V3!K1","V3")</f>
        <v>V3</v>
      </c>
      <c r="G6" s="949" t="str">
        <f>HYPERLINK("#V4!J1","V4")</f>
        <v>V4</v>
      </c>
      <c r="H6" s="949" t="str">
        <f>HYPERLINK("#V5!L1","V5")</f>
        <v>V5</v>
      </c>
      <c r="I6" s="949" t="str">
        <f>HYPERLINK("#V6!J1","V6")</f>
        <v>V6</v>
      </c>
      <c r="J6" s="949" t="str">
        <f>HYPERLINK("#V7!K1","V7")</f>
        <v>V7</v>
      </c>
      <c r="K6" s="949" t="str">
        <f>HYPERLINK("#V8!J1","V8")</f>
        <v>V8</v>
      </c>
      <c r="L6" s="949" t="str">
        <f>HYPERLINK("#V9!L1","V9")</f>
        <v>V9</v>
      </c>
      <c r="M6" s="949" t="str">
        <f>HYPERLINK("#V10!I1","V10")</f>
        <v>V10</v>
      </c>
      <c r="N6" s="609" t="s">
        <v>365</v>
      </c>
      <c r="O6" s="949" t="str">
        <f>HYPERLINK("#'V-Fin'!J1","V-Fin")</f>
        <v>V-Fin</v>
      </c>
      <c r="P6" s="1397"/>
      <c r="Q6" s="1397"/>
      <c r="R6" s="1398"/>
    </row>
    <row r="7" spans="1:18" x14ac:dyDescent="0.2">
      <c r="A7" s="525"/>
      <c r="B7" s="525" t="s">
        <v>38</v>
      </c>
      <c r="C7" s="525" t="s">
        <v>39</v>
      </c>
      <c r="D7" s="1245" t="s">
        <v>41</v>
      </c>
      <c r="E7" s="1245" t="s">
        <v>41</v>
      </c>
      <c r="F7" s="1245" t="s">
        <v>41</v>
      </c>
      <c r="G7" s="1245" t="s">
        <v>41</v>
      </c>
      <c r="H7" s="1245" t="s">
        <v>41</v>
      </c>
      <c r="I7" s="1245" t="s">
        <v>41</v>
      </c>
      <c r="J7" s="1245" t="s">
        <v>41</v>
      </c>
      <c r="K7" s="1245" t="s">
        <v>41</v>
      </c>
      <c r="L7" s="1245" t="s">
        <v>41</v>
      </c>
      <c r="M7" s="1245" t="s">
        <v>41</v>
      </c>
      <c r="N7" s="1246"/>
      <c r="O7" s="1245" t="s">
        <v>42</v>
      </c>
      <c r="P7" s="941"/>
      <c r="Q7" s="941"/>
      <c r="R7" s="526"/>
    </row>
    <row r="8" spans="1:18" x14ac:dyDescent="0.2">
      <c r="A8" s="757">
        <v>1</v>
      </c>
      <c r="B8" s="942" t="s">
        <v>47</v>
      </c>
      <c r="C8" s="947">
        <f t="shared" ref="C8:C47" si="0">SUM(D8:M8)</f>
        <v>69</v>
      </c>
      <c r="D8" s="750">
        <v>6</v>
      </c>
      <c r="E8" s="748">
        <v>7</v>
      </c>
      <c r="F8" s="748">
        <v>8</v>
      </c>
      <c r="G8" s="748">
        <v>8</v>
      </c>
      <c r="H8" s="748">
        <v>5</v>
      </c>
      <c r="I8" s="748">
        <v>8</v>
      </c>
      <c r="J8" s="750">
        <v>9</v>
      </c>
      <c r="K8" s="747">
        <v>6</v>
      </c>
      <c r="L8" s="944">
        <v>5</v>
      </c>
      <c r="M8" s="944">
        <v>7</v>
      </c>
      <c r="N8" s="946" t="str">
        <f t="shared" ref="N8:N47" si="1">IF(COUNTIF(D8:M8,"&gt;0")&gt;=3,"edasi "&amp;A8,(3-COUNTIF(D8:M8,"&gt;0"))&amp;" puudu")</f>
        <v>edasi 1</v>
      </c>
      <c r="O8" s="542">
        <v>4</v>
      </c>
      <c r="P8" s="527">
        <f t="shared" ref="P8:P47" si="2">COUNTIF(D8:M8,"&gt;=0")</f>
        <v>10</v>
      </c>
      <c r="Q8" s="527">
        <v>8</v>
      </c>
      <c r="R8" s="527">
        <f t="shared" ref="R8:R47" si="3">IF(D8=0,0,IF(D8=IFERROR(LARGE(D$9:D$47,1),0),1,0))+IF(E8=0,0,IF(E8=IFERROR(LARGE(E$9:E$47,1),0),1,0))+IF(F8=0,0,IF(F8=IFERROR(LARGE(F$9:F$47,1),0),1,0))+IF(G8=0,0,IF(G8=IFERROR(LARGE(G$9:G$47,1),0),1,0))+IF(H8=0,0,IF(H8=IFERROR(LARGE(H$9:H$47,1),0),1,0))+IF(I8=0,0,IF(I8=IFERROR(LARGE(I$9:I$47,1),0),1,0))+IF(J8=0,0,IF(J8=IFERROR(LARGE(J$9:J$47,1),0),1,0))+IF(K8=0,0,IF(K8=IFERROR(LARGE(K$9:K$47,1),0),1,0))+IF(L8=0,0,IF(L8=IFERROR(LARGE(L$9:L$47,1),0),1,0))+IF(M8=0,0,IF(M8=IFERROR(LARGE(M$9:M$47,1),0),1,0))</f>
        <v>6</v>
      </c>
    </row>
    <row r="9" spans="1:18" x14ac:dyDescent="0.2">
      <c r="A9" s="757">
        <v>2</v>
      </c>
      <c r="B9" s="942" t="s">
        <v>45</v>
      </c>
      <c r="C9" s="947">
        <f t="shared" si="0"/>
        <v>63</v>
      </c>
      <c r="D9" s="750">
        <v>6</v>
      </c>
      <c r="E9" s="748">
        <v>7</v>
      </c>
      <c r="F9" s="748">
        <v>8</v>
      </c>
      <c r="G9" s="748">
        <v>8</v>
      </c>
      <c r="H9" s="748">
        <v>5</v>
      </c>
      <c r="I9" s="748">
        <v>8</v>
      </c>
      <c r="J9" s="750">
        <v>9</v>
      </c>
      <c r="K9" s="748"/>
      <c r="L9" s="748">
        <v>5</v>
      </c>
      <c r="M9" s="748">
        <v>7</v>
      </c>
      <c r="N9" s="946" t="str">
        <f t="shared" si="1"/>
        <v>edasi 2</v>
      </c>
      <c r="O9" s="542">
        <v>9</v>
      </c>
      <c r="P9" s="527">
        <f t="shared" si="2"/>
        <v>9</v>
      </c>
      <c r="Q9" s="527">
        <v>7</v>
      </c>
      <c r="R9" s="527">
        <f t="shared" si="3"/>
        <v>5</v>
      </c>
    </row>
    <row r="10" spans="1:18" x14ac:dyDescent="0.2">
      <c r="A10" s="757">
        <v>3</v>
      </c>
      <c r="B10" s="1288" t="s">
        <v>15</v>
      </c>
      <c r="C10" s="947">
        <f t="shared" si="0"/>
        <v>59.5</v>
      </c>
      <c r="D10" s="748">
        <v>2.5</v>
      </c>
      <c r="E10" s="748">
        <v>3</v>
      </c>
      <c r="F10" s="748">
        <v>5.5</v>
      </c>
      <c r="G10" s="748">
        <v>3.5</v>
      </c>
      <c r="H10" s="750">
        <v>10</v>
      </c>
      <c r="I10" s="750">
        <v>7</v>
      </c>
      <c r="J10" s="748">
        <v>10</v>
      </c>
      <c r="K10" s="747">
        <v>6</v>
      </c>
      <c r="L10" s="846">
        <v>8</v>
      </c>
      <c r="M10" s="944">
        <v>4</v>
      </c>
      <c r="N10" s="946" t="str">
        <f t="shared" si="1"/>
        <v>edasi 3</v>
      </c>
      <c r="O10" s="542">
        <v>6</v>
      </c>
      <c r="P10" s="527">
        <f t="shared" si="2"/>
        <v>10</v>
      </c>
      <c r="Q10" s="527">
        <v>5</v>
      </c>
      <c r="R10" s="527">
        <f t="shared" si="3"/>
        <v>2</v>
      </c>
    </row>
    <row r="11" spans="1:18" x14ac:dyDescent="0.2">
      <c r="A11" s="757">
        <v>4</v>
      </c>
      <c r="B11" s="942" t="s">
        <v>48</v>
      </c>
      <c r="C11" s="947">
        <f t="shared" si="0"/>
        <v>56.5</v>
      </c>
      <c r="D11" s="751">
        <v>5</v>
      </c>
      <c r="E11" s="750">
        <v>6</v>
      </c>
      <c r="F11" s="748">
        <v>5.5</v>
      </c>
      <c r="G11" s="748"/>
      <c r="H11" s="748">
        <v>11</v>
      </c>
      <c r="I11" s="748">
        <v>3</v>
      </c>
      <c r="J11" s="748">
        <v>7</v>
      </c>
      <c r="K11" s="751">
        <v>4</v>
      </c>
      <c r="L11" s="748">
        <v>9</v>
      </c>
      <c r="M11" s="750">
        <v>6</v>
      </c>
      <c r="N11" s="946" t="str">
        <f t="shared" si="1"/>
        <v>edasi 4</v>
      </c>
      <c r="O11" s="542">
        <v>7</v>
      </c>
      <c r="P11" s="527">
        <f t="shared" si="2"/>
        <v>9</v>
      </c>
      <c r="Q11" s="527">
        <v>6</v>
      </c>
      <c r="R11" s="527">
        <f t="shared" si="3"/>
        <v>2</v>
      </c>
    </row>
    <row r="12" spans="1:18" x14ac:dyDescent="0.2">
      <c r="A12" s="757">
        <v>5</v>
      </c>
      <c r="B12" s="951" t="s">
        <v>349</v>
      </c>
      <c r="C12" s="947">
        <f t="shared" si="0"/>
        <v>34.5</v>
      </c>
      <c r="D12" s="748">
        <v>7</v>
      </c>
      <c r="E12" s="748">
        <v>2</v>
      </c>
      <c r="F12" s="751">
        <v>5.5</v>
      </c>
      <c r="G12" s="748">
        <v>3.5</v>
      </c>
      <c r="H12" s="748">
        <v>6</v>
      </c>
      <c r="I12" s="748">
        <v>4</v>
      </c>
      <c r="J12" s="748">
        <v>4.5</v>
      </c>
      <c r="K12" s="865">
        <v>1</v>
      </c>
      <c r="L12" s="944">
        <v>1</v>
      </c>
      <c r="M12" s="944"/>
      <c r="N12" s="946" t="str">
        <f t="shared" si="1"/>
        <v>edasi 5</v>
      </c>
      <c r="O12" s="542">
        <v>13</v>
      </c>
      <c r="P12" s="527">
        <f t="shared" si="2"/>
        <v>9</v>
      </c>
      <c r="Q12" s="527">
        <v>2</v>
      </c>
      <c r="R12" s="527">
        <f t="shared" si="3"/>
        <v>1</v>
      </c>
    </row>
    <row r="13" spans="1:18" x14ac:dyDescent="0.2">
      <c r="A13" s="757">
        <v>5</v>
      </c>
      <c r="B13" s="1288" t="s">
        <v>350</v>
      </c>
      <c r="C13" s="947">
        <f t="shared" si="0"/>
        <v>34.5</v>
      </c>
      <c r="D13" s="748">
        <v>7</v>
      </c>
      <c r="E13" s="748">
        <v>2</v>
      </c>
      <c r="F13" s="751">
        <v>5.5</v>
      </c>
      <c r="G13" s="748">
        <v>3.5</v>
      </c>
      <c r="H13" s="748">
        <v>6</v>
      </c>
      <c r="I13" s="748">
        <v>4</v>
      </c>
      <c r="J13" s="748">
        <v>4.5</v>
      </c>
      <c r="K13" s="865">
        <v>1</v>
      </c>
      <c r="L13" s="944">
        <v>1</v>
      </c>
      <c r="M13" s="944"/>
      <c r="N13" s="946" t="str">
        <f t="shared" si="1"/>
        <v>edasi 5</v>
      </c>
      <c r="O13" s="542">
        <v>11</v>
      </c>
      <c r="P13" s="527">
        <f t="shared" si="2"/>
        <v>9</v>
      </c>
      <c r="Q13" s="527">
        <v>2</v>
      </c>
      <c r="R13" s="527">
        <f t="shared" si="3"/>
        <v>1</v>
      </c>
    </row>
    <row r="14" spans="1:18" x14ac:dyDescent="0.2">
      <c r="A14" s="757">
        <v>7</v>
      </c>
      <c r="B14" s="951" t="s">
        <v>351</v>
      </c>
      <c r="C14" s="947">
        <f t="shared" si="0"/>
        <v>32</v>
      </c>
      <c r="D14" s="751">
        <v>5</v>
      </c>
      <c r="E14" s="748"/>
      <c r="F14" s="748"/>
      <c r="G14" s="748"/>
      <c r="H14" s="748">
        <v>11</v>
      </c>
      <c r="I14" s="748">
        <v>3</v>
      </c>
      <c r="J14" s="748"/>
      <c r="K14" s="751">
        <v>4</v>
      </c>
      <c r="L14" s="944">
        <v>9</v>
      </c>
      <c r="M14" s="944"/>
      <c r="N14" s="946" t="str">
        <f t="shared" si="1"/>
        <v>edasi 7</v>
      </c>
      <c r="O14" s="542">
        <v>14</v>
      </c>
      <c r="P14" s="527">
        <f t="shared" si="2"/>
        <v>5</v>
      </c>
      <c r="Q14" s="527">
        <v>4</v>
      </c>
      <c r="R14" s="527">
        <f t="shared" si="3"/>
        <v>2</v>
      </c>
    </row>
    <row r="15" spans="1:18" x14ac:dyDescent="0.2">
      <c r="A15" s="757">
        <v>8</v>
      </c>
      <c r="B15" s="1288" t="s">
        <v>346</v>
      </c>
      <c r="C15" s="947">
        <f t="shared" si="0"/>
        <v>31.5</v>
      </c>
      <c r="D15" s="748">
        <v>2.5</v>
      </c>
      <c r="E15" s="944">
        <v>3</v>
      </c>
      <c r="F15" s="748"/>
      <c r="G15" s="748">
        <v>3.5</v>
      </c>
      <c r="H15" s="944">
        <v>7</v>
      </c>
      <c r="I15" s="944">
        <v>5</v>
      </c>
      <c r="J15" s="944">
        <v>4.5</v>
      </c>
      <c r="K15" s="944"/>
      <c r="L15" s="944">
        <v>4</v>
      </c>
      <c r="M15" s="944">
        <v>2</v>
      </c>
      <c r="N15" s="946" t="str">
        <f t="shared" si="1"/>
        <v>edasi 8</v>
      </c>
      <c r="O15" s="542">
        <v>15</v>
      </c>
      <c r="P15" s="527">
        <f t="shared" si="2"/>
        <v>8</v>
      </c>
      <c r="Q15" s="527"/>
      <c r="R15" s="527">
        <f t="shared" si="3"/>
        <v>0</v>
      </c>
    </row>
    <row r="16" spans="1:18" x14ac:dyDescent="0.2">
      <c r="A16" s="757">
        <v>9</v>
      </c>
      <c r="B16" s="1062" t="s">
        <v>57</v>
      </c>
      <c r="C16" s="947">
        <f t="shared" si="0"/>
        <v>28.5</v>
      </c>
      <c r="D16" s="748">
        <v>2.5</v>
      </c>
      <c r="E16" s="748"/>
      <c r="F16" s="748">
        <v>2</v>
      </c>
      <c r="G16" s="750">
        <v>7</v>
      </c>
      <c r="H16" s="748">
        <v>7</v>
      </c>
      <c r="I16" s="748">
        <v>5</v>
      </c>
      <c r="J16" s="944"/>
      <c r="K16" s="748"/>
      <c r="L16" s="944"/>
      <c r="M16" s="847">
        <v>5</v>
      </c>
      <c r="N16" s="946" t="str">
        <f t="shared" si="1"/>
        <v>edasi 9</v>
      </c>
      <c r="O16" s="542">
        <v>8</v>
      </c>
      <c r="P16" s="527">
        <f t="shared" si="2"/>
        <v>6</v>
      </c>
      <c r="Q16" s="527">
        <v>2</v>
      </c>
      <c r="R16" s="527">
        <f t="shared" si="3"/>
        <v>0</v>
      </c>
    </row>
    <row r="17" spans="1:18" x14ac:dyDescent="0.2">
      <c r="A17" s="757">
        <v>10</v>
      </c>
      <c r="B17" s="1061" t="s">
        <v>54</v>
      </c>
      <c r="C17" s="947">
        <f t="shared" si="0"/>
        <v>26.5</v>
      </c>
      <c r="D17" s="748">
        <v>2.5</v>
      </c>
      <c r="E17" s="751">
        <v>5</v>
      </c>
      <c r="F17" s="750">
        <v>5.5</v>
      </c>
      <c r="G17" s="748"/>
      <c r="H17" s="748"/>
      <c r="I17" s="748">
        <v>2</v>
      </c>
      <c r="J17" s="748">
        <v>6</v>
      </c>
      <c r="K17" s="748">
        <v>3</v>
      </c>
      <c r="L17" s="944">
        <v>2.5</v>
      </c>
      <c r="M17" s="944"/>
      <c r="N17" s="946" t="str">
        <f t="shared" si="1"/>
        <v>edasi 10</v>
      </c>
      <c r="O17" s="1048">
        <v>2</v>
      </c>
      <c r="P17" s="527">
        <f t="shared" si="2"/>
        <v>7</v>
      </c>
      <c r="Q17" s="527">
        <v>2</v>
      </c>
      <c r="R17" s="527">
        <f t="shared" si="3"/>
        <v>0</v>
      </c>
    </row>
    <row r="18" spans="1:18" x14ac:dyDescent="0.2">
      <c r="A18" s="757">
        <v>11</v>
      </c>
      <c r="B18" s="1288" t="s">
        <v>345</v>
      </c>
      <c r="C18" s="947">
        <f t="shared" si="0"/>
        <v>24</v>
      </c>
      <c r="D18" s="748"/>
      <c r="E18" s="748">
        <v>4</v>
      </c>
      <c r="F18" s="748">
        <v>1</v>
      </c>
      <c r="G18" s="748">
        <v>3.5</v>
      </c>
      <c r="H18" s="748">
        <v>1.5</v>
      </c>
      <c r="I18" s="751">
        <v>6</v>
      </c>
      <c r="J18" s="748">
        <v>1</v>
      </c>
      <c r="K18" s="748"/>
      <c r="L18" s="944">
        <v>4</v>
      </c>
      <c r="M18" s="944">
        <v>3</v>
      </c>
      <c r="N18" s="946" t="str">
        <f t="shared" si="1"/>
        <v>edasi 11</v>
      </c>
      <c r="O18" s="542">
        <v>18</v>
      </c>
      <c r="P18" s="527">
        <f t="shared" si="2"/>
        <v>8</v>
      </c>
      <c r="Q18" s="527">
        <v>1</v>
      </c>
      <c r="R18" s="527">
        <f t="shared" si="3"/>
        <v>0</v>
      </c>
    </row>
    <row r="19" spans="1:18" x14ac:dyDescent="0.2">
      <c r="A19" s="757">
        <v>12</v>
      </c>
      <c r="B19" s="1288" t="s">
        <v>344</v>
      </c>
      <c r="C19" s="947">
        <f t="shared" si="0"/>
        <v>23.5</v>
      </c>
      <c r="D19" s="748">
        <v>2.5</v>
      </c>
      <c r="E19" s="748">
        <v>1</v>
      </c>
      <c r="F19" s="748">
        <v>3</v>
      </c>
      <c r="G19" s="748"/>
      <c r="H19" s="748">
        <v>4</v>
      </c>
      <c r="I19" s="748">
        <v>1</v>
      </c>
      <c r="J19" s="748">
        <v>7</v>
      </c>
      <c r="K19" s="748"/>
      <c r="L19" s="944"/>
      <c r="M19" s="847">
        <v>5</v>
      </c>
      <c r="N19" s="946" t="str">
        <f t="shared" si="1"/>
        <v>edasi 12</v>
      </c>
      <c r="O19" s="542">
        <v>17</v>
      </c>
      <c r="P19" s="527">
        <f t="shared" si="2"/>
        <v>7</v>
      </c>
      <c r="Q19" s="527">
        <v>1</v>
      </c>
      <c r="R19" s="527">
        <f t="shared" si="3"/>
        <v>0</v>
      </c>
    </row>
    <row r="20" spans="1:18" x14ac:dyDescent="0.2">
      <c r="A20" s="757">
        <v>13</v>
      </c>
      <c r="B20" s="528" t="s">
        <v>339</v>
      </c>
      <c r="C20" s="947">
        <f t="shared" si="0"/>
        <v>23</v>
      </c>
      <c r="D20" s="748"/>
      <c r="E20" s="748"/>
      <c r="F20" s="748"/>
      <c r="G20" s="748"/>
      <c r="H20" s="751">
        <v>9</v>
      </c>
      <c r="I20" s="748"/>
      <c r="J20" s="751">
        <v>8</v>
      </c>
      <c r="K20" s="748"/>
      <c r="L20" s="944">
        <v>6</v>
      </c>
      <c r="M20" s="944"/>
      <c r="N20" s="946" t="str">
        <f t="shared" si="1"/>
        <v>edasi 13</v>
      </c>
      <c r="O20" s="542"/>
      <c r="P20" s="527">
        <f t="shared" si="2"/>
        <v>3</v>
      </c>
      <c r="Q20" s="527">
        <v>2</v>
      </c>
      <c r="R20" s="527">
        <f t="shared" si="3"/>
        <v>0</v>
      </c>
    </row>
    <row r="21" spans="1:18" x14ac:dyDescent="0.2">
      <c r="A21" s="757">
        <v>13</v>
      </c>
      <c r="B21" s="1044" t="s">
        <v>81</v>
      </c>
      <c r="C21" s="947">
        <f t="shared" si="0"/>
        <v>23</v>
      </c>
      <c r="D21" s="748"/>
      <c r="E21" s="748"/>
      <c r="F21" s="748"/>
      <c r="G21" s="748"/>
      <c r="H21" s="751">
        <v>9</v>
      </c>
      <c r="I21" s="748"/>
      <c r="J21" s="751">
        <v>8</v>
      </c>
      <c r="K21" s="748"/>
      <c r="L21" s="944">
        <v>6</v>
      </c>
      <c r="M21" s="944"/>
      <c r="N21" s="946" t="str">
        <f t="shared" si="1"/>
        <v>edasi 13</v>
      </c>
      <c r="O21" s="1047">
        <v>3</v>
      </c>
      <c r="P21" s="527">
        <f t="shared" si="2"/>
        <v>3</v>
      </c>
      <c r="Q21" s="527">
        <v>2</v>
      </c>
      <c r="R21" s="527">
        <f t="shared" si="3"/>
        <v>0</v>
      </c>
    </row>
    <row r="22" spans="1:18" x14ac:dyDescent="0.2">
      <c r="A22" s="757">
        <v>15</v>
      </c>
      <c r="B22" s="1288" t="s">
        <v>347</v>
      </c>
      <c r="C22" s="947">
        <f t="shared" si="0"/>
        <v>22.5</v>
      </c>
      <c r="D22" s="748">
        <v>2.5</v>
      </c>
      <c r="E22" s="748">
        <v>4</v>
      </c>
      <c r="F22" s="748">
        <v>1</v>
      </c>
      <c r="G22" s="748">
        <v>3.5</v>
      </c>
      <c r="H22" s="748">
        <v>1.5</v>
      </c>
      <c r="I22" s="751">
        <v>6</v>
      </c>
      <c r="J22" s="748">
        <v>1</v>
      </c>
      <c r="K22" s="748"/>
      <c r="L22" s="944"/>
      <c r="M22" s="944">
        <v>3</v>
      </c>
      <c r="N22" s="946" t="str">
        <f t="shared" si="1"/>
        <v>edasi 15</v>
      </c>
      <c r="O22" s="542">
        <v>10</v>
      </c>
      <c r="P22" s="527">
        <f t="shared" si="2"/>
        <v>8</v>
      </c>
      <c r="Q22" s="527">
        <v>1</v>
      </c>
      <c r="R22" s="527">
        <f t="shared" si="3"/>
        <v>0</v>
      </c>
    </row>
    <row r="23" spans="1:18" x14ac:dyDescent="0.2">
      <c r="A23" s="757">
        <v>16</v>
      </c>
      <c r="B23" s="1043" t="s">
        <v>49</v>
      </c>
      <c r="C23" s="947">
        <f t="shared" si="0"/>
        <v>22</v>
      </c>
      <c r="D23" s="748"/>
      <c r="E23" s="748"/>
      <c r="F23" s="748"/>
      <c r="G23" s="748"/>
      <c r="H23" s="748"/>
      <c r="I23" s="748"/>
      <c r="J23" s="748">
        <v>10</v>
      </c>
      <c r="K23" s="748"/>
      <c r="L23" s="846">
        <v>8</v>
      </c>
      <c r="M23" s="944">
        <v>4</v>
      </c>
      <c r="N23" s="946" t="str">
        <f t="shared" si="1"/>
        <v>edasi 16</v>
      </c>
      <c r="O23" s="1049">
        <v>1</v>
      </c>
      <c r="P23" s="527">
        <f t="shared" si="2"/>
        <v>3</v>
      </c>
      <c r="Q23" s="527">
        <v>2</v>
      </c>
      <c r="R23" s="527">
        <f t="shared" si="3"/>
        <v>1</v>
      </c>
    </row>
    <row r="24" spans="1:18" x14ac:dyDescent="0.2">
      <c r="A24" s="757">
        <v>17</v>
      </c>
      <c r="B24" s="951" t="s">
        <v>63</v>
      </c>
      <c r="C24" s="947">
        <f t="shared" si="0"/>
        <v>20.5</v>
      </c>
      <c r="D24" s="748"/>
      <c r="E24" s="751">
        <v>5</v>
      </c>
      <c r="F24" s="750">
        <v>5.5</v>
      </c>
      <c r="G24" s="748"/>
      <c r="H24" s="748">
        <v>1.5</v>
      </c>
      <c r="I24" s="748">
        <v>2</v>
      </c>
      <c r="J24" s="748">
        <v>2</v>
      </c>
      <c r="K24" s="865">
        <v>2</v>
      </c>
      <c r="L24" s="944">
        <v>2.5</v>
      </c>
      <c r="M24" s="944"/>
      <c r="N24" s="946" t="str">
        <f t="shared" si="1"/>
        <v>edasi 17</v>
      </c>
      <c r="O24" s="542"/>
      <c r="P24" s="527">
        <f t="shared" si="2"/>
        <v>7</v>
      </c>
      <c r="Q24" s="527">
        <v>2</v>
      </c>
      <c r="R24" s="527">
        <f t="shared" si="3"/>
        <v>0</v>
      </c>
    </row>
    <row r="25" spans="1:18" x14ac:dyDescent="0.2">
      <c r="A25" s="757">
        <v>18</v>
      </c>
      <c r="B25" s="952" t="s">
        <v>68</v>
      </c>
      <c r="C25" s="947">
        <f t="shared" si="0"/>
        <v>19</v>
      </c>
      <c r="D25" s="748"/>
      <c r="E25" s="748"/>
      <c r="F25" s="748">
        <v>5.5</v>
      </c>
      <c r="G25" s="748">
        <v>3.5</v>
      </c>
      <c r="H25" s="750">
        <v>10</v>
      </c>
      <c r="I25" s="748"/>
      <c r="J25" s="748"/>
      <c r="K25" s="748"/>
      <c r="L25" s="944"/>
      <c r="M25" s="944"/>
      <c r="N25" s="946" t="str">
        <f t="shared" si="1"/>
        <v>edasi 18</v>
      </c>
      <c r="O25" s="542"/>
      <c r="P25" s="527">
        <f t="shared" si="2"/>
        <v>3</v>
      </c>
      <c r="Q25" s="527">
        <v>1</v>
      </c>
      <c r="R25" s="527">
        <f t="shared" si="3"/>
        <v>0</v>
      </c>
    </row>
    <row r="26" spans="1:18" x14ac:dyDescent="0.2">
      <c r="A26" s="757">
        <v>19</v>
      </c>
      <c r="B26" s="1289" t="s">
        <v>457</v>
      </c>
      <c r="C26" s="947">
        <f t="shared" si="0"/>
        <v>19</v>
      </c>
      <c r="D26" s="748"/>
      <c r="E26" s="748"/>
      <c r="F26" s="748"/>
      <c r="G26" s="748"/>
      <c r="H26" s="748">
        <v>8</v>
      </c>
      <c r="I26" s="750">
        <v>7</v>
      </c>
      <c r="J26" s="748">
        <v>2</v>
      </c>
      <c r="K26" s="748"/>
      <c r="L26" s="944"/>
      <c r="M26" s="944">
        <v>2</v>
      </c>
      <c r="N26" s="946" t="str">
        <f t="shared" si="1"/>
        <v>edasi 19</v>
      </c>
      <c r="O26" s="542"/>
      <c r="P26" s="527">
        <f t="shared" si="2"/>
        <v>4</v>
      </c>
      <c r="Q26" s="527">
        <v>1</v>
      </c>
      <c r="R26" s="527">
        <f t="shared" si="3"/>
        <v>0</v>
      </c>
    </row>
    <row r="27" spans="1:18" x14ac:dyDescent="0.2">
      <c r="A27" s="757">
        <v>20</v>
      </c>
      <c r="B27" s="528" t="s">
        <v>452</v>
      </c>
      <c r="C27" s="947">
        <f t="shared" si="0"/>
        <v>15.5</v>
      </c>
      <c r="D27" s="748"/>
      <c r="E27" s="748"/>
      <c r="F27" s="748">
        <v>2</v>
      </c>
      <c r="G27" s="748"/>
      <c r="H27" s="748"/>
      <c r="I27" s="748"/>
      <c r="J27" s="748">
        <v>2</v>
      </c>
      <c r="K27" s="748">
        <v>3</v>
      </c>
      <c r="L27" s="944">
        <v>2.5</v>
      </c>
      <c r="M27" s="846">
        <v>6</v>
      </c>
      <c r="N27" s="946" t="str">
        <f t="shared" si="1"/>
        <v>edasi 20</v>
      </c>
      <c r="O27" s="542">
        <v>16</v>
      </c>
      <c r="P27" s="527">
        <f t="shared" si="2"/>
        <v>5</v>
      </c>
      <c r="Q27" s="527">
        <v>1</v>
      </c>
      <c r="R27" s="527">
        <f t="shared" si="3"/>
        <v>0</v>
      </c>
    </row>
    <row r="28" spans="1:18" x14ac:dyDescent="0.2">
      <c r="A28" s="757">
        <v>21</v>
      </c>
      <c r="B28" s="951" t="s">
        <v>46</v>
      </c>
      <c r="C28" s="947">
        <f t="shared" si="0"/>
        <v>13</v>
      </c>
      <c r="D28" s="748"/>
      <c r="E28" s="748"/>
      <c r="F28" s="748"/>
      <c r="G28" s="748"/>
      <c r="H28" s="748"/>
      <c r="I28" s="748"/>
      <c r="J28" s="748"/>
      <c r="K28" s="750">
        <v>5</v>
      </c>
      <c r="L28" s="847">
        <v>7</v>
      </c>
      <c r="M28" s="944">
        <v>1</v>
      </c>
      <c r="N28" s="946" t="str">
        <f t="shared" si="1"/>
        <v>edasi 21</v>
      </c>
      <c r="O28" s="542">
        <v>5</v>
      </c>
      <c r="P28" s="527">
        <f t="shared" si="2"/>
        <v>3</v>
      </c>
      <c r="Q28" s="527">
        <v>2</v>
      </c>
      <c r="R28" s="527">
        <f t="shared" si="3"/>
        <v>0</v>
      </c>
    </row>
    <row r="29" spans="1:18" x14ac:dyDescent="0.2">
      <c r="A29" s="757">
        <v>22</v>
      </c>
      <c r="B29" s="1289" t="s">
        <v>343</v>
      </c>
      <c r="C29" s="947">
        <f t="shared" si="0"/>
        <v>10.5</v>
      </c>
      <c r="D29" s="748">
        <v>2.5</v>
      </c>
      <c r="E29" s="748">
        <v>1</v>
      </c>
      <c r="F29" s="748">
        <v>3</v>
      </c>
      <c r="G29" s="748"/>
      <c r="H29" s="748">
        <v>4</v>
      </c>
      <c r="I29" s="748"/>
      <c r="J29" s="748"/>
      <c r="K29" s="748"/>
      <c r="L29" s="944"/>
      <c r="M29" s="944"/>
      <c r="N29" s="946" t="str">
        <f t="shared" si="1"/>
        <v>edasi 22</v>
      </c>
      <c r="O29" s="542">
        <v>12</v>
      </c>
      <c r="P29" s="527">
        <f t="shared" si="2"/>
        <v>4</v>
      </c>
      <c r="Q29" s="527"/>
      <c r="R29" s="527">
        <f t="shared" si="3"/>
        <v>0</v>
      </c>
    </row>
    <row r="30" spans="1:18" x14ac:dyDescent="0.2">
      <c r="A30" s="757">
        <v>23</v>
      </c>
      <c r="B30" s="716" t="s">
        <v>458</v>
      </c>
      <c r="C30" s="947">
        <f t="shared" si="0"/>
        <v>8</v>
      </c>
      <c r="D30" s="748"/>
      <c r="E30" s="748"/>
      <c r="F30" s="748"/>
      <c r="G30" s="748"/>
      <c r="H30" s="748">
        <v>8</v>
      </c>
      <c r="I30" s="748"/>
      <c r="J30" s="748"/>
      <c r="K30" s="748"/>
      <c r="L30" s="944"/>
      <c r="M30" s="944"/>
      <c r="N30" s="946" t="str">
        <f t="shared" si="1"/>
        <v>2 puudu</v>
      </c>
      <c r="O30" s="542"/>
      <c r="P30" s="527">
        <f t="shared" si="2"/>
        <v>1</v>
      </c>
      <c r="Q30" s="527"/>
      <c r="R30" s="527">
        <f t="shared" si="3"/>
        <v>0</v>
      </c>
    </row>
    <row r="31" spans="1:18" x14ac:dyDescent="0.2">
      <c r="A31" s="757">
        <v>23</v>
      </c>
      <c r="B31" s="711" t="s">
        <v>423</v>
      </c>
      <c r="C31" s="947">
        <f t="shared" si="0"/>
        <v>8</v>
      </c>
      <c r="D31" s="748"/>
      <c r="E31" s="748"/>
      <c r="F31" s="748"/>
      <c r="G31" s="748"/>
      <c r="H31" s="748">
        <v>1.5</v>
      </c>
      <c r="I31" s="748"/>
      <c r="J31" s="748">
        <v>2</v>
      </c>
      <c r="K31" s="865">
        <v>2</v>
      </c>
      <c r="L31" s="944">
        <v>2.5</v>
      </c>
      <c r="M31" s="944"/>
      <c r="N31" s="946" t="str">
        <f t="shared" si="1"/>
        <v>edasi 23</v>
      </c>
      <c r="O31" s="542"/>
      <c r="P31" s="527">
        <f t="shared" si="2"/>
        <v>4</v>
      </c>
      <c r="Q31" s="527"/>
      <c r="R31" s="527">
        <f t="shared" si="3"/>
        <v>0</v>
      </c>
    </row>
    <row r="32" spans="1:18" x14ac:dyDescent="0.2">
      <c r="A32" s="757">
        <v>23</v>
      </c>
      <c r="B32" s="942" t="s">
        <v>516</v>
      </c>
      <c r="C32" s="950">
        <f t="shared" si="0"/>
        <v>8</v>
      </c>
      <c r="D32" s="748"/>
      <c r="E32" s="748"/>
      <c r="F32" s="748"/>
      <c r="G32" s="748"/>
      <c r="H32" s="748"/>
      <c r="I32" s="748"/>
      <c r="J32" s="748"/>
      <c r="K32" s="748"/>
      <c r="L32" s="847">
        <v>7</v>
      </c>
      <c r="M32" s="944">
        <v>1</v>
      </c>
      <c r="N32" s="946" t="str">
        <f t="shared" si="1"/>
        <v>1 puudu</v>
      </c>
      <c r="O32" s="542"/>
      <c r="P32" s="527">
        <f t="shared" si="2"/>
        <v>2</v>
      </c>
      <c r="Q32" s="527">
        <v>1</v>
      </c>
      <c r="R32" s="527">
        <f t="shared" si="3"/>
        <v>0</v>
      </c>
    </row>
    <row r="33" spans="1:18" x14ac:dyDescent="0.2">
      <c r="A33" s="757">
        <v>26</v>
      </c>
      <c r="B33" s="716" t="s">
        <v>451</v>
      </c>
      <c r="C33" s="947">
        <f t="shared" si="0"/>
        <v>7</v>
      </c>
      <c r="D33" s="748"/>
      <c r="E33" s="748"/>
      <c r="F33" s="748"/>
      <c r="G33" s="750">
        <v>7</v>
      </c>
      <c r="H33" s="748"/>
      <c r="I33" s="748"/>
      <c r="J33" s="748"/>
      <c r="K33" s="748"/>
      <c r="L33" s="944"/>
      <c r="M33" s="944"/>
      <c r="N33" s="946" t="str">
        <f t="shared" si="1"/>
        <v>2 puudu</v>
      </c>
      <c r="O33" s="542"/>
      <c r="P33" s="527">
        <f t="shared" si="2"/>
        <v>1</v>
      </c>
      <c r="Q33" s="527">
        <v>1</v>
      </c>
      <c r="R33" s="527">
        <f t="shared" si="3"/>
        <v>0</v>
      </c>
    </row>
    <row r="34" spans="1:18" x14ac:dyDescent="0.2">
      <c r="A34" s="757">
        <v>27</v>
      </c>
      <c r="B34" s="710" t="s">
        <v>462</v>
      </c>
      <c r="C34" s="947">
        <f t="shared" si="0"/>
        <v>6</v>
      </c>
      <c r="D34" s="748"/>
      <c r="E34" s="748"/>
      <c r="F34" s="748"/>
      <c r="G34" s="751">
        <v>6</v>
      </c>
      <c r="H34" s="748"/>
      <c r="I34" s="748"/>
      <c r="J34" s="748"/>
      <c r="K34" s="748"/>
      <c r="L34" s="944"/>
      <c r="M34" s="944"/>
      <c r="N34" s="946" t="str">
        <f t="shared" si="1"/>
        <v>2 puudu</v>
      </c>
      <c r="O34" s="542"/>
      <c r="P34" s="527">
        <f t="shared" si="2"/>
        <v>1</v>
      </c>
      <c r="Q34" s="527">
        <v>1</v>
      </c>
      <c r="R34" s="527">
        <f t="shared" si="3"/>
        <v>0</v>
      </c>
    </row>
    <row r="35" spans="1:18" x14ac:dyDescent="0.2">
      <c r="A35" s="757">
        <v>27</v>
      </c>
      <c r="B35" s="942" t="s">
        <v>60</v>
      </c>
      <c r="C35" s="947">
        <f t="shared" si="0"/>
        <v>6</v>
      </c>
      <c r="D35" s="748"/>
      <c r="E35" s="748"/>
      <c r="F35" s="748"/>
      <c r="G35" s="748"/>
      <c r="H35" s="748"/>
      <c r="I35" s="748"/>
      <c r="J35" s="748">
        <v>6</v>
      </c>
      <c r="K35" s="748"/>
      <c r="L35" s="944"/>
      <c r="M35" s="944"/>
      <c r="N35" s="946" t="str">
        <f t="shared" si="1"/>
        <v>2 puudu</v>
      </c>
      <c r="O35" s="542"/>
      <c r="P35" s="527">
        <f t="shared" si="2"/>
        <v>1</v>
      </c>
      <c r="Q35" s="527"/>
      <c r="R35" s="527">
        <f t="shared" si="3"/>
        <v>0</v>
      </c>
    </row>
    <row r="36" spans="1:18" x14ac:dyDescent="0.2">
      <c r="A36" s="757">
        <v>27</v>
      </c>
      <c r="B36" s="716" t="s">
        <v>453</v>
      </c>
      <c r="C36" s="947">
        <f t="shared" si="0"/>
        <v>6</v>
      </c>
      <c r="D36" s="748"/>
      <c r="E36" s="748"/>
      <c r="F36" s="748"/>
      <c r="G36" s="751">
        <v>6</v>
      </c>
      <c r="H36" s="748"/>
      <c r="I36" s="748"/>
      <c r="J36" s="748"/>
      <c r="K36" s="748"/>
      <c r="L36" s="944"/>
      <c r="M36" s="944"/>
      <c r="N36" s="946" t="str">
        <f t="shared" si="1"/>
        <v>2 puudu</v>
      </c>
      <c r="O36" s="542"/>
      <c r="P36" s="527">
        <f t="shared" si="2"/>
        <v>1</v>
      </c>
      <c r="Q36" s="527">
        <v>1</v>
      </c>
      <c r="R36" s="527">
        <f t="shared" si="3"/>
        <v>0</v>
      </c>
    </row>
    <row r="37" spans="1:18" x14ac:dyDescent="0.2">
      <c r="A37" s="757">
        <v>27</v>
      </c>
      <c r="B37" s="716" t="s">
        <v>70</v>
      </c>
      <c r="C37" s="947">
        <f t="shared" si="0"/>
        <v>6</v>
      </c>
      <c r="D37" s="748"/>
      <c r="E37" s="750">
        <v>6</v>
      </c>
      <c r="F37" s="748"/>
      <c r="G37" s="748"/>
      <c r="H37" s="748"/>
      <c r="I37" s="748"/>
      <c r="J37" s="748"/>
      <c r="K37" s="748"/>
      <c r="L37" s="944"/>
      <c r="M37" s="944"/>
      <c r="N37" s="946" t="str">
        <f t="shared" si="1"/>
        <v>2 puudu</v>
      </c>
      <c r="O37" s="542"/>
      <c r="P37" s="527">
        <f t="shared" si="2"/>
        <v>1</v>
      </c>
      <c r="Q37" s="527">
        <v>1</v>
      </c>
      <c r="R37" s="527">
        <f t="shared" si="3"/>
        <v>0</v>
      </c>
    </row>
    <row r="38" spans="1:18" x14ac:dyDescent="0.2">
      <c r="A38" s="757">
        <v>31</v>
      </c>
      <c r="B38" s="716" t="s">
        <v>56</v>
      </c>
      <c r="C38" s="947">
        <f t="shared" si="0"/>
        <v>5.5</v>
      </c>
      <c r="D38" s="748"/>
      <c r="E38" s="748"/>
      <c r="F38" s="748">
        <v>5.5</v>
      </c>
      <c r="G38" s="748"/>
      <c r="H38" s="748"/>
      <c r="I38" s="748"/>
      <c r="J38" s="748"/>
      <c r="K38" s="748"/>
      <c r="L38" s="944"/>
      <c r="M38" s="944"/>
      <c r="N38" s="946" t="str">
        <f t="shared" si="1"/>
        <v>2 puudu</v>
      </c>
      <c r="O38" s="542"/>
      <c r="P38" s="527">
        <f t="shared" si="2"/>
        <v>1</v>
      </c>
      <c r="Q38" s="527"/>
      <c r="R38" s="527">
        <f t="shared" si="3"/>
        <v>0</v>
      </c>
    </row>
    <row r="39" spans="1:18" x14ac:dyDescent="0.2">
      <c r="A39" s="757">
        <v>32</v>
      </c>
      <c r="B39" s="942" t="s">
        <v>53</v>
      </c>
      <c r="C39" s="947">
        <f t="shared" si="0"/>
        <v>5</v>
      </c>
      <c r="D39" s="748"/>
      <c r="E39" s="748"/>
      <c r="F39" s="748"/>
      <c r="G39" s="748"/>
      <c r="H39" s="748"/>
      <c r="I39" s="748"/>
      <c r="J39" s="748"/>
      <c r="K39" s="750">
        <v>5</v>
      </c>
      <c r="L39" s="944"/>
      <c r="M39" s="944"/>
      <c r="N39" s="946" t="str">
        <f t="shared" si="1"/>
        <v>2 puudu</v>
      </c>
      <c r="O39" s="542"/>
      <c r="P39" s="527">
        <f t="shared" si="2"/>
        <v>1</v>
      </c>
      <c r="Q39" s="527">
        <v>1</v>
      </c>
      <c r="R39" s="527">
        <f t="shared" si="3"/>
        <v>0</v>
      </c>
    </row>
    <row r="40" spans="1:18" x14ac:dyDescent="0.2">
      <c r="A40" s="757">
        <v>33</v>
      </c>
      <c r="B40" s="1288" t="s">
        <v>487</v>
      </c>
      <c r="C40" s="947">
        <f t="shared" si="0"/>
        <v>4.5</v>
      </c>
      <c r="D40" s="748"/>
      <c r="E40" s="748"/>
      <c r="F40" s="748"/>
      <c r="G40" s="748"/>
      <c r="H40" s="748"/>
      <c r="I40" s="748"/>
      <c r="J40" s="748">
        <v>4.5</v>
      </c>
      <c r="K40" s="748"/>
      <c r="L40" s="944"/>
      <c r="M40" s="944"/>
      <c r="N40" s="946" t="str">
        <f t="shared" si="1"/>
        <v>2 puudu</v>
      </c>
      <c r="O40" s="542"/>
      <c r="P40" s="527">
        <f t="shared" si="2"/>
        <v>1</v>
      </c>
      <c r="Q40" s="527"/>
      <c r="R40" s="527">
        <f t="shared" si="3"/>
        <v>0</v>
      </c>
    </row>
    <row r="41" spans="1:18" x14ac:dyDescent="0.2">
      <c r="A41" s="757">
        <v>34</v>
      </c>
      <c r="B41" s="716" t="s">
        <v>454</v>
      </c>
      <c r="C41" s="947">
        <f t="shared" si="0"/>
        <v>3.5</v>
      </c>
      <c r="D41" s="748"/>
      <c r="E41" s="748"/>
      <c r="F41" s="748"/>
      <c r="G41" s="748">
        <v>3.5</v>
      </c>
      <c r="H41" s="748"/>
      <c r="I41" s="748"/>
      <c r="J41" s="748"/>
      <c r="K41" s="748"/>
      <c r="L41" s="944"/>
      <c r="M41" s="944"/>
      <c r="N41" s="946" t="str">
        <f t="shared" si="1"/>
        <v>2 puudu</v>
      </c>
      <c r="O41" s="542"/>
      <c r="P41" s="527">
        <f t="shared" si="2"/>
        <v>1</v>
      </c>
      <c r="Q41" s="527"/>
      <c r="R41" s="527">
        <f t="shared" si="3"/>
        <v>0</v>
      </c>
    </row>
    <row r="42" spans="1:18" x14ac:dyDescent="0.2">
      <c r="A42" s="757">
        <v>35</v>
      </c>
      <c r="B42" s="716" t="s">
        <v>460</v>
      </c>
      <c r="C42" s="947">
        <f t="shared" si="0"/>
        <v>3</v>
      </c>
      <c r="D42" s="748"/>
      <c r="E42" s="748"/>
      <c r="F42" s="748"/>
      <c r="G42" s="748"/>
      <c r="H42" s="748">
        <v>3</v>
      </c>
      <c r="I42" s="748"/>
      <c r="J42" s="748"/>
      <c r="K42" s="748"/>
      <c r="L42" s="944"/>
      <c r="M42" s="944"/>
      <c r="N42" s="946" t="str">
        <f t="shared" si="1"/>
        <v>2 puudu</v>
      </c>
      <c r="O42" s="542"/>
      <c r="P42" s="527">
        <f t="shared" si="2"/>
        <v>1</v>
      </c>
      <c r="Q42" s="527"/>
      <c r="R42" s="527">
        <f t="shared" si="3"/>
        <v>0</v>
      </c>
    </row>
    <row r="43" spans="1:18" x14ac:dyDescent="0.2">
      <c r="A43" s="757">
        <v>35</v>
      </c>
      <c r="B43" s="716" t="s">
        <v>459</v>
      </c>
      <c r="C43" s="947">
        <f t="shared" si="0"/>
        <v>3</v>
      </c>
      <c r="D43" s="748"/>
      <c r="E43" s="748"/>
      <c r="F43" s="748"/>
      <c r="G43" s="748"/>
      <c r="H43" s="748">
        <v>3</v>
      </c>
      <c r="I43" s="748"/>
      <c r="J43" s="748"/>
      <c r="K43" s="748"/>
      <c r="L43" s="944"/>
      <c r="M43" s="944"/>
      <c r="N43" s="946" t="str">
        <f t="shared" si="1"/>
        <v>2 puudu</v>
      </c>
      <c r="O43" s="542"/>
      <c r="P43" s="527">
        <f t="shared" si="2"/>
        <v>1</v>
      </c>
      <c r="Q43" s="527"/>
      <c r="R43" s="527">
        <f t="shared" si="3"/>
        <v>0</v>
      </c>
    </row>
    <row r="44" spans="1:18" x14ac:dyDescent="0.2">
      <c r="A44" s="757">
        <v>37</v>
      </c>
      <c r="B44" s="528" t="s">
        <v>67</v>
      </c>
      <c r="C44" s="947">
        <f t="shared" si="0"/>
        <v>2.5</v>
      </c>
      <c r="D44" s="748">
        <v>2.5</v>
      </c>
      <c r="E44" s="748"/>
      <c r="F44" s="748"/>
      <c r="G44" s="748"/>
      <c r="H44" s="748"/>
      <c r="I44" s="748"/>
      <c r="J44" s="748"/>
      <c r="K44" s="748"/>
      <c r="L44" s="944"/>
      <c r="M44" s="944"/>
      <c r="N44" s="946" t="str">
        <f t="shared" si="1"/>
        <v>2 puudu</v>
      </c>
      <c r="O44" s="542"/>
      <c r="P44" s="527">
        <f t="shared" si="2"/>
        <v>1</v>
      </c>
      <c r="Q44" s="527"/>
      <c r="R44" s="527">
        <f t="shared" si="3"/>
        <v>0</v>
      </c>
    </row>
    <row r="45" spans="1:18" x14ac:dyDescent="0.2">
      <c r="A45" s="757">
        <v>38</v>
      </c>
      <c r="B45" s="942" t="s">
        <v>461</v>
      </c>
      <c r="C45" s="947">
        <f t="shared" si="0"/>
        <v>1</v>
      </c>
      <c r="D45" s="748"/>
      <c r="E45" s="748"/>
      <c r="F45" s="748"/>
      <c r="G45" s="748"/>
      <c r="H45" s="748"/>
      <c r="I45" s="748">
        <v>1</v>
      </c>
      <c r="J45" s="748"/>
      <c r="K45" s="748"/>
      <c r="L45" s="944"/>
      <c r="M45" s="944"/>
      <c r="N45" s="946" t="str">
        <f t="shared" si="1"/>
        <v>2 puudu</v>
      </c>
      <c r="O45" s="542"/>
      <c r="P45" s="948">
        <f t="shared" si="2"/>
        <v>1</v>
      </c>
      <c r="Q45" s="527"/>
      <c r="R45" s="527">
        <f t="shared" si="3"/>
        <v>0</v>
      </c>
    </row>
    <row r="46" spans="1:18" x14ac:dyDescent="0.2">
      <c r="A46" s="757">
        <v>38</v>
      </c>
      <c r="B46" s="716" t="s">
        <v>456</v>
      </c>
      <c r="C46" s="947">
        <f t="shared" si="0"/>
        <v>1</v>
      </c>
      <c r="D46" s="748"/>
      <c r="E46" s="748"/>
      <c r="F46" s="748"/>
      <c r="G46" s="748">
        <v>1</v>
      </c>
      <c r="H46" s="748"/>
      <c r="I46" s="748"/>
      <c r="J46" s="748"/>
      <c r="K46" s="748"/>
      <c r="L46" s="944"/>
      <c r="M46" s="944"/>
      <c r="N46" s="946" t="str">
        <f t="shared" si="1"/>
        <v>2 puudu</v>
      </c>
      <c r="O46" s="542"/>
      <c r="P46" s="527">
        <f t="shared" si="2"/>
        <v>1</v>
      </c>
      <c r="Q46" s="527"/>
      <c r="R46" s="527">
        <f t="shared" si="3"/>
        <v>0</v>
      </c>
    </row>
    <row r="47" spans="1:18" x14ac:dyDescent="0.2">
      <c r="A47" s="757">
        <v>38</v>
      </c>
      <c r="B47" s="710" t="s">
        <v>455</v>
      </c>
      <c r="C47" s="947">
        <f t="shared" si="0"/>
        <v>1</v>
      </c>
      <c r="D47" s="748"/>
      <c r="E47" s="748"/>
      <c r="F47" s="748"/>
      <c r="G47" s="748">
        <v>1</v>
      </c>
      <c r="H47" s="748"/>
      <c r="I47" s="748"/>
      <c r="J47" s="748"/>
      <c r="K47" s="748"/>
      <c r="L47" s="944"/>
      <c r="M47" s="944"/>
      <c r="N47" s="946" t="str">
        <f t="shared" si="1"/>
        <v>2 puudu</v>
      </c>
      <c r="O47" s="542"/>
      <c r="P47" s="527">
        <f t="shared" si="2"/>
        <v>1</v>
      </c>
      <c r="Q47" s="527"/>
      <c r="R47" s="527">
        <f t="shared" si="3"/>
        <v>0</v>
      </c>
    </row>
    <row r="48" spans="1:18" x14ac:dyDescent="0.2">
      <c r="A48" s="529">
        <f>COUNT(A8:A47)</f>
        <v>40</v>
      </c>
      <c r="B48" s="712" t="s">
        <v>74</v>
      </c>
      <c r="C48" s="531"/>
      <c r="D48" s="530">
        <f>COUNTIF(D8:D47,"&gt;=0")</f>
        <v>14</v>
      </c>
      <c r="E48" s="530">
        <f>COUNTIF(E8:E47,"&gt;=0")</f>
        <v>14</v>
      </c>
      <c r="F48" s="530">
        <f>COUNTIF(F8:F47,"&gt;=0")</f>
        <v>16</v>
      </c>
      <c r="G48" s="530">
        <f>COUNTIF(G8:G47,"&gt;=0")</f>
        <v>16</v>
      </c>
      <c r="H48" s="530">
        <f>COUNTIF(H8:H47,"&gt;=0")</f>
        <v>22</v>
      </c>
      <c r="I48" s="530">
        <f>COUNTIF(I8:I47,"&gt;=0")</f>
        <v>16</v>
      </c>
      <c r="J48" s="530">
        <f>COUNTIF(J8:J47,"&gt;=0")</f>
        <v>20</v>
      </c>
      <c r="K48" s="530">
        <f>COUNTIF(K8:K47,"&gt;=0")</f>
        <v>12</v>
      </c>
      <c r="L48" s="530">
        <f>COUNTIF(L8:L47,"&gt;=0")</f>
        <v>18</v>
      </c>
      <c r="M48" s="530">
        <f>COUNTIF(M8:M47,"&gt;=0")</f>
        <v>14</v>
      </c>
      <c r="N48" s="530"/>
      <c r="O48" s="530">
        <f>COUNTIF(O8:O47,"&gt;=0")</f>
        <v>18</v>
      </c>
      <c r="P48" s="521"/>
      <c r="Q48" s="749">
        <f>SUM(Q8:Q46)</f>
        <v>60</v>
      </c>
      <c r="R48" s="521"/>
    </row>
    <row r="49" spans="1:18" x14ac:dyDescent="0.2">
      <c r="A49" s="532"/>
      <c r="B49" s="712" t="s">
        <v>75</v>
      </c>
      <c r="C49" s="531"/>
      <c r="D49" s="554">
        <f>IF((D48/(LEN(D7)-LEN(SUBSTITUTE(D7,"*","")))-0.5)&lt;0,"",D48/(LEN(D7)-LEN(SUBSTITUTE(D7,"*","")))-0.5)</f>
        <v>6.5</v>
      </c>
      <c r="E49" s="554">
        <f>IF((E48/(LEN(E7)-LEN(SUBSTITUTE(E7,"*","")))-0.5)&lt;0,"",E48/(LEN(E7)-LEN(SUBSTITUTE(E7,"*","")))-0.5)</f>
        <v>6.5</v>
      </c>
      <c r="F49" s="554">
        <f>IF((F48/(LEN(F7)-LEN(SUBSTITUTE(F7,"*","")))-0.5)&lt;0,"",F48/(LEN(F7)-LEN(SUBSTITUTE(F7,"*","")))-0.5)</f>
        <v>7.5</v>
      </c>
      <c r="G49" s="554">
        <f>IF((G48/(LEN(G7)-LEN(SUBSTITUTE(G7,"*","")))-0.5)&lt;0,"",G48/(LEN(G7)-LEN(SUBSTITUTE(G7,"*","")))-0.5)</f>
        <v>7.5</v>
      </c>
      <c r="H49" s="554">
        <f>IF((H48/(LEN(H7)-LEN(SUBSTITUTE(H7,"*","")))-0.5)&lt;0,"",H48/(LEN(H7)-LEN(SUBSTITUTE(H7,"*","")))-0.5)</f>
        <v>10.5</v>
      </c>
      <c r="I49" s="554">
        <f>IF((I48/(LEN(I7)-LEN(SUBSTITUTE(I7,"*","")))-0.5)&lt;0,"",I48/(LEN(I7)-LEN(SUBSTITUTE(I7,"*","")))-0.5)</f>
        <v>7.5</v>
      </c>
      <c r="J49" s="554">
        <f>IF((J48/(LEN(J7)-LEN(SUBSTITUTE(J7,"*","")))-0.5)&lt;0,"",J48/(LEN(J7)-LEN(SUBSTITUTE(J7,"*","")))-0.5)</f>
        <v>9.5</v>
      </c>
      <c r="K49" s="554">
        <f>IF((K48/(LEN(K7)-LEN(SUBSTITUTE(K7,"*","")))-0.5)&lt;0,"",K48/(LEN(K7)-LEN(SUBSTITUTE(K7,"*","")))-0.5)</f>
        <v>5.5</v>
      </c>
      <c r="L49" s="554">
        <f>IF((L48/(LEN(L7)-LEN(SUBSTITUTE(L7,"*","")))-0.5)&lt;0,"",L48/(LEN(L7)-LEN(SUBSTITUTE(L7,"*","")))-0.5)</f>
        <v>8.5</v>
      </c>
      <c r="M49" s="554">
        <f>IF((M48/(LEN(M7)-LEN(SUBSTITUTE(M7,"*","")))-0.5)&lt;0,"",M48/(LEN(M7)-LEN(SUBSTITUTE(M7,"*","")))-0.5)</f>
        <v>6.5</v>
      </c>
      <c r="N49" s="532"/>
      <c r="O49" s="532"/>
      <c r="P49" s="521"/>
      <c r="Q49" s="521"/>
      <c r="R49" s="521"/>
    </row>
    <row r="52" spans="1:18" x14ac:dyDescent="0.2">
      <c r="C52" s="519"/>
    </row>
    <row r="53" spans="1:18" x14ac:dyDescent="0.2">
      <c r="C53" s="519"/>
    </row>
  </sheetData>
  <autoFilter ref="P7:R7"/>
  <mergeCells count="3">
    <mergeCell ref="P5:P6"/>
    <mergeCell ref="R5:R6"/>
    <mergeCell ref="Q5:Q6"/>
  </mergeCells>
  <conditionalFormatting sqref="D48:O48">
    <cfRule type="top10" dxfId="45" priority="26" stopIfTrue="1" rank="1"/>
  </conditionalFormatting>
  <conditionalFormatting sqref="N8:N47">
    <cfRule type="containsText" dxfId="44" priority="2" stopIfTrue="1" operator="containsText" text="puudu">
      <formula>NOT(ISERROR(SEARCH("puudu",N8)))</formula>
    </cfRule>
    <cfRule type="cellIs" priority="5" operator="equal">
      <formula>"-"</formula>
    </cfRule>
  </conditionalFormatting>
  <conditionalFormatting sqref="D8:D47">
    <cfRule type="top10" dxfId="43" priority="88" stopIfTrue="1" rank="1"/>
  </conditionalFormatting>
  <conditionalFormatting sqref="E8:E47">
    <cfRule type="top10" dxfId="42" priority="89" stopIfTrue="1" rank="1"/>
  </conditionalFormatting>
  <conditionalFormatting sqref="F8:F47">
    <cfRule type="top10" dxfId="41" priority="90" stopIfTrue="1" rank="1"/>
  </conditionalFormatting>
  <conditionalFormatting sqref="G8:G47">
    <cfRule type="top10" dxfId="40" priority="91" stopIfTrue="1" rank="1"/>
  </conditionalFormatting>
  <conditionalFormatting sqref="H8:H47">
    <cfRule type="top10" dxfId="39" priority="92" stopIfTrue="1" rank="1"/>
  </conditionalFormatting>
  <conditionalFormatting sqref="I8:I47">
    <cfRule type="top10" dxfId="38" priority="93" stopIfTrue="1" rank="1"/>
  </conditionalFormatting>
  <conditionalFormatting sqref="J8:J47">
    <cfRule type="top10" dxfId="37" priority="94" stopIfTrue="1" rank="1"/>
  </conditionalFormatting>
  <conditionalFormatting sqref="K8:K47">
    <cfRule type="top10" dxfId="36" priority="95" stopIfTrue="1" rank="1"/>
  </conditionalFormatting>
  <conditionalFormatting sqref="L8:L47">
    <cfRule type="top10" dxfId="35" priority="96" stopIfTrue="1" rank="1"/>
  </conditionalFormatting>
  <conditionalFormatting sqref="M8:M47">
    <cfRule type="top10" dxfId="34" priority="97" stopIfTrue="1" rank="1"/>
  </conditionalFormatting>
  <conditionalFormatting sqref="B8:B47">
    <cfRule type="duplicateValues" dxfId="33" priority="98" stopIfTrue="1"/>
  </conditionalFormatting>
  <conditionalFormatting sqref="Q8:Q47">
    <cfRule type="top10" dxfId="32" priority="100" stopIfTrue="1" rank="1"/>
  </conditionalFormatting>
  <conditionalFormatting sqref="C8:C47">
    <cfRule type="duplicateValues" dxfId="31" priority="102" stopIfTrue="1"/>
  </conditionalFormatting>
  <conditionalFormatting sqref="A8:A47">
    <cfRule type="duplicateValues" dxfId="30" priority="103" stopIfTrue="1"/>
  </conditionalFormatting>
  <conditionalFormatting sqref="R8:R47">
    <cfRule type="top10" dxfId="1" priority="203" stopIfTrue="1" rank="1"/>
  </conditionalFormatting>
  <conditionalFormatting sqref="P8:Q47">
    <cfRule type="top10" dxfId="0" priority="204" stopIfTrue="1" rank="1"/>
  </conditionalFormatting>
  <pageMargins left="0.70866141732283472" right="0.31496062992125984" top="0.59055118110236227" bottom="0.39370078740157483" header="0.39370078740157483" footer="0"/>
  <pageSetup paperSize="9" fitToHeight="0" orientation="portrait" useFirstPageNumber="1" verticalDpi="300" r:id="rId1"/>
  <headerFooter alignWithMargins="0">
    <oddHeader>&amp;R&amp;"Arial,Regular"&amp;9Page &amp;P of &amp;N</oddHeader>
  </headerFooter>
  <rowBreaks count="1" manualBreakCount="1">
    <brk id="50" max="16383" man="1"/>
  </rowBreaks>
  <ignoredErrors>
    <ignoredError sqref="D49:O49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6"/>
  <sheetViews>
    <sheetView showGridLines="0" showRowColHeaders="0" zoomScaleNormal="100" workbookViewId="0">
      <pane ySplit="2" topLeftCell="A3" activePane="bottomLeft" state="frozen"/>
      <selection activeCell="P1" sqref="P1"/>
      <selection pane="bottomLeft" activeCell="G1" sqref="G1"/>
    </sheetView>
  </sheetViews>
  <sheetFormatPr defaultRowHeight="12.75" x14ac:dyDescent="0.2"/>
  <cols>
    <col min="1" max="1" width="3" style="12" customWidth="1"/>
    <col min="2" max="2" width="33.7109375" style="12" customWidth="1"/>
    <col min="3" max="3" width="2" style="12" bestFit="1" customWidth="1"/>
    <col min="4" max="4" width="5.7109375" style="12" customWidth="1"/>
    <col min="5" max="5" width="2" style="12" bestFit="1" customWidth="1"/>
    <col min="6" max="6" width="33.7109375" style="12" customWidth="1"/>
    <col min="7" max="10" width="3" style="12" bestFit="1" customWidth="1"/>
    <col min="11" max="11" width="3.5703125" style="12" bestFit="1" customWidth="1"/>
    <col min="12" max="12" width="3.140625" style="12" bestFit="1" customWidth="1"/>
    <col min="13" max="16384" width="9.140625" style="12"/>
  </cols>
  <sheetData>
    <row r="1" spans="1:8" x14ac:dyDescent="0.2">
      <c r="A1" s="11" t="str">
        <f>UPPER((Kalend!E6)&amp;" - "&amp;(Kalend!C6)&amp;" - "&amp;(Kalend!D6))</f>
        <v>V1 - VOKA KARIKAS 1 -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"&amp;(Kalend!A6)&amp;" kell "&amp;(Kalend!B6)</f>
        <v>Toimumisaeg: K, 04.05.2016 kell 18:00</v>
      </c>
    </row>
    <row r="3" spans="1:8" x14ac:dyDescent="0.2">
      <c r="A3" s="478" t="str">
        <f>"Toimumiskoht: "&amp;(Kalend!F6)</f>
        <v>Toimumiskoht: Voka staadion</v>
      </c>
    </row>
    <row r="4" spans="1:8" x14ac:dyDescent="0.2">
      <c r="A4" s="478" t="str">
        <f>"Korraldaja: "&amp;(Kalend!G6)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7" spans="1:8" x14ac:dyDescent="0.2">
      <c r="A7" s="478"/>
    </row>
    <row r="8" spans="1:8" x14ac:dyDescent="0.2">
      <c r="A8" s="717" t="s">
        <v>236</v>
      </c>
      <c r="B8" s="718"/>
    </row>
    <row r="9" spans="1:8" x14ac:dyDescent="0.2">
      <c r="A9" s="478"/>
      <c r="B9" s="536" t="s">
        <v>357</v>
      </c>
      <c r="C9" s="550"/>
      <c r="D9" s="866" t="s">
        <v>527</v>
      </c>
      <c r="E9" s="545">
        <v>1</v>
      </c>
      <c r="F9" s="536" t="s">
        <v>348</v>
      </c>
    </row>
    <row r="10" spans="1:8" x14ac:dyDescent="0.2">
      <c r="A10" s="478"/>
      <c r="B10" s="536" t="s">
        <v>358</v>
      </c>
      <c r="C10" s="545">
        <v>1</v>
      </c>
      <c r="D10" s="866" t="s">
        <v>528</v>
      </c>
      <c r="E10" s="550"/>
      <c r="F10" s="544" t="s">
        <v>354</v>
      </c>
    </row>
    <row r="11" spans="1:8" x14ac:dyDescent="0.2">
      <c r="A11" s="478"/>
      <c r="B11" s="536" t="s">
        <v>355</v>
      </c>
      <c r="C11" s="545">
        <v>1</v>
      </c>
      <c r="D11" s="866" t="s">
        <v>528</v>
      </c>
      <c r="E11" s="550"/>
      <c r="F11" s="536" t="s">
        <v>356</v>
      </c>
    </row>
    <row r="12" spans="1:8" x14ac:dyDescent="0.2">
      <c r="A12" s="478"/>
      <c r="B12" s="536" t="s">
        <v>352</v>
      </c>
      <c r="C12" s="550">
        <v>1</v>
      </c>
      <c r="D12" s="867" t="s">
        <v>550</v>
      </c>
      <c r="E12" s="550"/>
      <c r="F12" s="546" t="s">
        <v>147</v>
      </c>
    </row>
    <row r="13" spans="1:8" x14ac:dyDescent="0.2">
      <c r="A13" s="717" t="s">
        <v>239</v>
      </c>
      <c r="B13" s="718"/>
      <c r="C13" s="551"/>
      <c r="E13" s="551"/>
    </row>
    <row r="14" spans="1:8" x14ac:dyDescent="0.2">
      <c r="A14" s="478"/>
      <c r="B14" s="536" t="s">
        <v>352</v>
      </c>
      <c r="C14" s="550"/>
      <c r="D14" s="866" t="s">
        <v>529</v>
      </c>
      <c r="E14" s="550">
        <v>1</v>
      </c>
      <c r="F14" s="536" t="s">
        <v>348</v>
      </c>
    </row>
    <row r="15" spans="1:8" x14ac:dyDescent="0.2">
      <c r="A15" s="478"/>
      <c r="B15" s="536" t="s">
        <v>355</v>
      </c>
      <c r="C15" s="545">
        <v>1</v>
      </c>
      <c r="D15" s="866" t="s">
        <v>530</v>
      </c>
      <c r="E15" s="550"/>
      <c r="F15" s="536" t="s">
        <v>358</v>
      </c>
    </row>
    <row r="16" spans="1:8" x14ac:dyDescent="0.2">
      <c r="A16" s="478"/>
      <c r="B16" s="536" t="s">
        <v>356</v>
      </c>
      <c r="C16" s="545">
        <v>1</v>
      </c>
      <c r="D16" s="866" t="s">
        <v>531</v>
      </c>
      <c r="E16" s="550"/>
      <c r="F16" s="536" t="s">
        <v>357</v>
      </c>
    </row>
    <row r="17" spans="1:6" x14ac:dyDescent="0.2">
      <c r="A17" s="478"/>
      <c r="B17" s="755" t="s">
        <v>354</v>
      </c>
      <c r="C17" s="550">
        <v>1</v>
      </c>
      <c r="D17" s="867" t="s">
        <v>550</v>
      </c>
      <c r="E17" s="550"/>
      <c r="F17" s="546" t="s">
        <v>147</v>
      </c>
    </row>
    <row r="18" spans="1:6" x14ac:dyDescent="0.2">
      <c r="A18" s="717" t="s">
        <v>242</v>
      </c>
      <c r="B18" s="718"/>
      <c r="C18" s="551"/>
      <c r="E18" s="551"/>
    </row>
    <row r="19" spans="1:6" x14ac:dyDescent="0.2">
      <c r="A19" s="478"/>
      <c r="B19" s="536" t="s">
        <v>348</v>
      </c>
      <c r="C19" s="550">
        <v>1</v>
      </c>
      <c r="D19" s="866" t="s">
        <v>532</v>
      </c>
      <c r="E19" s="550"/>
      <c r="F19" s="536" t="s">
        <v>355</v>
      </c>
    </row>
    <row r="20" spans="1:6" x14ac:dyDescent="0.2">
      <c r="A20" s="478"/>
      <c r="B20" s="544" t="s">
        <v>354</v>
      </c>
      <c r="C20" s="545">
        <v>1</v>
      </c>
      <c r="D20" s="866" t="s">
        <v>533</v>
      </c>
      <c r="E20" s="550"/>
      <c r="F20" s="536" t="s">
        <v>356</v>
      </c>
    </row>
    <row r="21" spans="1:6" x14ac:dyDescent="0.2">
      <c r="A21" s="478"/>
      <c r="B21" s="536" t="s">
        <v>358</v>
      </c>
      <c r="C21" s="550"/>
      <c r="D21" s="866" t="s">
        <v>534</v>
      </c>
      <c r="E21" s="550">
        <v>1</v>
      </c>
      <c r="F21" s="536" t="s">
        <v>352</v>
      </c>
    </row>
    <row r="22" spans="1:6" x14ac:dyDescent="0.2">
      <c r="A22" s="478"/>
      <c r="B22" s="536" t="s">
        <v>357</v>
      </c>
      <c r="C22" s="550">
        <v>1</v>
      </c>
      <c r="D22" s="867" t="s">
        <v>550</v>
      </c>
      <c r="E22" s="550"/>
      <c r="F22" s="546" t="s">
        <v>147</v>
      </c>
    </row>
    <row r="23" spans="1:6" x14ac:dyDescent="0.2">
      <c r="A23" s="717" t="s">
        <v>319</v>
      </c>
      <c r="B23" s="718"/>
      <c r="C23" s="551"/>
      <c r="E23" s="551"/>
    </row>
    <row r="24" spans="1:6" x14ac:dyDescent="0.2">
      <c r="A24" s="478"/>
      <c r="B24" s="536" t="s">
        <v>348</v>
      </c>
      <c r="C24" s="550">
        <v>1</v>
      </c>
      <c r="D24" s="866" t="s">
        <v>535</v>
      </c>
      <c r="E24" s="550"/>
      <c r="F24" s="544" t="s">
        <v>354</v>
      </c>
    </row>
    <row r="25" spans="1:6" x14ac:dyDescent="0.2">
      <c r="A25" s="478"/>
      <c r="B25" s="536" t="s">
        <v>352</v>
      </c>
      <c r="C25" s="550">
        <v>1</v>
      </c>
      <c r="D25" s="866" t="s">
        <v>536</v>
      </c>
      <c r="E25" s="550"/>
      <c r="F25" s="536" t="s">
        <v>356</v>
      </c>
    </row>
    <row r="26" spans="1:6" x14ac:dyDescent="0.2">
      <c r="A26" s="478"/>
      <c r="B26" s="536" t="s">
        <v>355</v>
      </c>
      <c r="C26" s="550"/>
      <c r="D26" s="866" t="s">
        <v>537</v>
      </c>
      <c r="E26" s="550">
        <v>1</v>
      </c>
      <c r="F26" s="536" t="s">
        <v>357</v>
      </c>
    </row>
    <row r="27" spans="1:6" x14ac:dyDescent="0.2">
      <c r="A27" s="478"/>
      <c r="B27" s="536" t="s">
        <v>358</v>
      </c>
      <c r="C27" s="545">
        <v>1</v>
      </c>
      <c r="D27" s="867" t="s">
        <v>550</v>
      </c>
      <c r="E27" s="550"/>
      <c r="F27" s="546" t="s">
        <v>147</v>
      </c>
    </row>
    <row r="28" spans="1:6" x14ac:dyDescent="0.2">
      <c r="A28" s="717" t="s">
        <v>322</v>
      </c>
      <c r="B28" s="718"/>
      <c r="C28" s="551"/>
      <c r="E28" s="551"/>
    </row>
    <row r="29" spans="1:6" x14ac:dyDescent="0.2">
      <c r="A29" s="478"/>
      <c r="B29" s="536" t="s">
        <v>348</v>
      </c>
      <c r="C29" s="545">
        <v>1</v>
      </c>
      <c r="D29" s="866" t="s">
        <v>538</v>
      </c>
      <c r="E29" s="550"/>
      <c r="F29" s="536" t="s">
        <v>358</v>
      </c>
    </row>
    <row r="30" spans="1:6" x14ac:dyDescent="0.2">
      <c r="A30" s="478"/>
      <c r="B30" s="536" t="s">
        <v>352</v>
      </c>
      <c r="C30" s="550">
        <v>1</v>
      </c>
      <c r="D30" s="866" t="s">
        <v>539</v>
      </c>
      <c r="E30" s="550"/>
      <c r="F30" s="536" t="s">
        <v>355</v>
      </c>
    </row>
    <row r="31" spans="1:6" x14ac:dyDescent="0.2">
      <c r="A31" s="478"/>
      <c r="B31" s="544" t="s">
        <v>354</v>
      </c>
      <c r="C31" s="545">
        <v>1</v>
      </c>
      <c r="D31" s="866" t="s">
        <v>535</v>
      </c>
      <c r="E31" s="550"/>
      <c r="F31" s="536" t="s">
        <v>357</v>
      </c>
    </row>
    <row r="32" spans="1:6" x14ac:dyDescent="0.2">
      <c r="A32" s="478"/>
      <c r="B32" s="536" t="s">
        <v>356</v>
      </c>
      <c r="C32" s="550">
        <v>1</v>
      </c>
      <c r="D32" s="867" t="s">
        <v>550</v>
      </c>
      <c r="E32" s="550"/>
      <c r="F32" s="546" t="s">
        <v>147</v>
      </c>
    </row>
    <row r="33" spans="1:12" x14ac:dyDescent="0.2">
      <c r="A33" s="478"/>
      <c r="C33" s="551"/>
      <c r="E33" s="551"/>
    </row>
    <row r="34" spans="1:12" x14ac:dyDescent="0.2">
      <c r="D34" s="549" t="s">
        <v>35</v>
      </c>
    </row>
    <row r="35" spans="1:12" x14ac:dyDescent="0.2">
      <c r="A35" s="535">
        <v>1</v>
      </c>
      <c r="B35" s="538" t="s">
        <v>348</v>
      </c>
      <c r="D35" s="547">
        <v>5</v>
      </c>
    </row>
    <row r="36" spans="1:12" x14ac:dyDescent="0.2">
      <c r="A36" s="535">
        <v>2</v>
      </c>
      <c r="B36" s="539" t="s">
        <v>352</v>
      </c>
      <c r="D36" s="547">
        <v>4</v>
      </c>
    </row>
    <row r="37" spans="1:12" x14ac:dyDescent="0.2">
      <c r="A37" s="535">
        <v>3</v>
      </c>
      <c r="B37" s="540" t="s">
        <v>354</v>
      </c>
      <c r="D37" s="547">
        <v>3</v>
      </c>
    </row>
    <row r="38" spans="1:12" x14ac:dyDescent="0.2">
      <c r="A38" s="849">
        <v>4</v>
      </c>
      <c r="B38" s="536" t="s">
        <v>355</v>
      </c>
      <c r="D38" s="547">
        <v>2</v>
      </c>
    </row>
    <row r="39" spans="1:12" x14ac:dyDescent="0.2">
      <c r="A39" s="849">
        <v>4</v>
      </c>
      <c r="B39" s="536" t="s">
        <v>356</v>
      </c>
      <c r="D39" s="547">
        <v>2</v>
      </c>
    </row>
    <row r="40" spans="1:12" x14ac:dyDescent="0.2">
      <c r="A40" s="849">
        <v>4</v>
      </c>
      <c r="B40" s="536" t="s">
        <v>357</v>
      </c>
      <c r="D40" s="547">
        <v>2</v>
      </c>
    </row>
    <row r="41" spans="1:12" x14ac:dyDescent="0.2">
      <c r="A41" s="849">
        <v>4</v>
      </c>
      <c r="B41" s="536" t="s">
        <v>358</v>
      </c>
      <c r="D41" s="547">
        <v>2</v>
      </c>
    </row>
    <row r="43" spans="1:12" hidden="1" x14ac:dyDescent="0.2">
      <c r="F43" s="852" t="s">
        <v>355</v>
      </c>
      <c r="G43" s="853"/>
      <c r="H43" s="854">
        <v>13</v>
      </c>
      <c r="I43" s="854">
        <v>7</v>
      </c>
      <c r="J43" s="854">
        <v>13</v>
      </c>
      <c r="K43" s="857" t="s">
        <v>258</v>
      </c>
      <c r="L43" s="854" t="s">
        <v>261</v>
      </c>
    </row>
    <row r="44" spans="1:12" hidden="1" x14ac:dyDescent="0.2">
      <c r="F44" s="852" t="s">
        <v>356</v>
      </c>
      <c r="G44" s="854">
        <v>11</v>
      </c>
      <c r="H44" s="853"/>
      <c r="I44" s="858">
        <v>13</v>
      </c>
      <c r="J44" s="854"/>
      <c r="K44" s="857" t="s">
        <v>335</v>
      </c>
      <c r="L44" s="854" t="s">
        <v>328</v>
      </c>
    </row>
    <row r="45" spans="1:12" hidden="1" x14ac:dyDescent="0.2">
      <c r="F45" s="852" t="s">
        <v>357</v>
      </c>
      <c r="G45" s="854">
        <v>13</v>
      </c>
      <c r="H45" s="858">
        <v>6</v>
      </c>
      <c r="I45" s="853"/>
      <c r="J45" s="854"/>
      <c r="K45" s="857" t="s">
        <v>335</v>
      </c>
      <c r="L45" s="854" t="s">
        <v>329</v>
      </c>
    </row>
    <row r="46" spans="1:12" hidden="1" x14ac:dyDescent="0.2">
      <c r="F46" s="852" t="s">
        <v>358</v>
      </c>
      <c r="G46" s="854">
        <v>12</v>
      </c>
      <c r="H46" s="854"/>
      <c r="I46" s="854"/>
      <c r="J46" s="853"/>
      <c r="K46" s="857" t="s">
        <v>524</v>
      </c>
      <c r="L46" s="854" t="s">
        <v>525</v>
      </c>
    </row>
  </sheetData>
  <pageMargins left="0.31496062992125984" right="0.31496062992125984" top="0.78740157480314965" bottom="0.39370078740157483" header="0.59055118110236227" footer="0"/>
  <pageSetup paperSize="9" fitToHeight="0" orientation="portrait" verticalDpi="1200" r:id="rId1"/>
  <headerFooter>
    <oddHeader>&amp;R&amp;"Arial,Regular"&amp;9Page &amp;P of &amp;N</oddHeader>
  </headerFooter>
  <rowBreaks count="4" manualBreakCount="4">
    <brk id="59" max="16383" man="1"/>
    <brk id="97" max="16383" man="1"/>
    <brk id="135" max="16383" man="1"/>
    <brk id="170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5"/>
  <sheetViews>
    <sheetView showGridLines="0" showRowColHeaders="0" zoomScaleNormal="100" workbookViewId="0">
      <pane ySplit="2" topLeftCell="A3" activePane="bottomLeft" state="frozen"/>
      <selection activeCell="A2" sqref="A2"/>
      <selection pane="bottomLeft" activeCell="H1" sqref="H1"/>
    </sheetView>
  </sheetViews>
  <sheetFormatPr defaultRowHeight="12.75" x14ac:dyDescent="0.2"/>
  <cols>
    <col min="1" max="1" width="3" style="12" customWidth="1"/>
    <col min="2" max="2" width="30.85546875" style="12" bestFit="1" customWidth="1"/>
    <col min="3" max="3" width="2" style="12" bestFit="1" customWidth="1"/>
    <col min="4" max="4" width="5.7109375" style="12" customWidth="1"/>
    <col min="5" max="5" width="2" style="12" bestFit="1" customWidth="1"/>
    <col min="6" max="6" width="30.85546875" style="12" bestFit="1" customWidth="1"/>
    <col min="7" max="8" width="3" style="12" bestFit="1" customWidth="1"/>
    <col min="9" max="9" width="3.5703125" style="12" bestFit="1" customWidth="1"/>
    <col min="10" max="10" width="2.7109375" style="12" bestFit="1" customWidth="1"/>
    <col min="11" max="16384" width="9.140625" style="12"/>
  </cols>
  <sheetData>
    <row r="1" spans="1:8" x14ac:dyDescent="0.2">
      <c r="A1" s="11" t="str">
        <f>UPPER((Kalend!E11)&amp;" - "&amp;(Kalend!C11)&amp;" - "&amp;(Kalend!D11))</f>
        <v>V2 - VOKA KARIKAS 2 -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"&amp;(Kalend!A11)&amp;" kell "&amp;(Kalend!B11)</f>
        <v>Toimumisaeg: K, 25.05.2016 kell 18:00</v>
      </c>
    </row>
    <row r="3" spans="1:8" x14ac:dyDescent="0.2">
      <c r="A3" s="478" t="str">
        <f>"Toimumiskoht: "&amp;(Kalend!F11)</f>
        <v>Toimumiskoht: Voka staadion</v>
      </c>
    </row>
    <row r="4" spans="1:8" x14ac:dyDescent="0.2">
      <c r="A4" s="478" t="str">
        <f>"Korraldaja: "&amp;(Kalend!G11)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7" spans="1:8" x14ac:dyDescent="0.2">
      <c r="A7" s="478"/>
    </row>
    <row r="8" spans="1:8" x14ac:dyDescent="0.2">
      <c r="A8" s="717" t="s">
        <v>236</v>
      </c>
      <c r="B8" s="718"/>
    </row>
    <row r="9" spans="1:8" x14ac:dyDescent="0.2">
      <c r="A9" s="478"/>
      <c r="B9" s="629" t="s">
        <v>361</v>
      </c>
      <c r="C9" s="630"/>
      <c r="D9" s="867" t="s">
        <v>537</v>
      </c>
      <c r="E9" s="382">
        <v>1</v>
      </c>
      <c r="F9" s="629" t="s">
        <v>348</v>
      </c>
    </row>
    <row r="10" spans="1:8" x14ac:dyDescent="0.2">
      <c r="A10" s="478"/>
      <c r="B10" s="631" t="s">
        <v>352</v>
      </c>
      <c r="C10" s="382">
        <v>1</v>
      </c>
      <c r="D10" s="867" t="s">
        <v>540</v>
      </c>
      <c r="E10" s="630"/>
      <c r="F10" s="631" t="s">
        <v>360</v>
      </c>
    </row>
    <row r="11" spans="1:8" x14ac:dyDescent="0.2">
      <c r="A11" s="478"/>
      <c r="B11" s="631" t="s">
        <v>359</v>
      </c>
      <c r="C11" s="382">
        <v>1</v>
      </c>
      <c r="D11" s="867" t="s">
        <v>533</v>
      </c>
      <c r="E11" s="630"/>
      <c r="F11" s="629" t="s">
        <v>358</v>
      </c>
    </row>
    <row r="12" spans="1:8" x14ac:dyDescent="0.2">
      <c r="A12" s="478"/>
      <c r="B12" s="629" t="s">
        <v>353</v>
      </c>
      <c r="C12" s="630">
        <v>1</v>
      </c>
      <c r="D12" s="867" t="s">
        <v>550</v>
      </c>
      <c r="E12" s="630"/>
      <c r="F12" s="631" t="s">
        <v>147</v>
      </c>
    </row>
    <row r="13" spans="1:8" x14ac:dyDescent="0.2">
      <c r="A13" s="717" t="s">
        <v>239</v>
      </c>
      <c r="B13" s="718"/>
      <c r="C13" s="632"/>
      <c r="D13" s="46"/>
      <c r="E13" s="632"/>
      <c r="F13" s="46"/>
    </row>
    <row r="14" spans="1:8" x14ac:dyDescent="0.2">
      <c r="A14" s="478"/>
      <c r="B14" s="629" t="s">
        <v>361</v>
      </c>
      <c r="C14" s="630">
        <v>1</v>
      </c>
      <c r="D14" s="867" t="s">
        <v>541</v>
      </c>
      <c r="E14" s="630"/>
      <c r="F14" s="629" t="s">
        <v>353</v>
      </c>
    </row>
    <row r="15" spans="1:8" x14ac:dyDescent="0.2">
      <c r="A15" s="478"/>
      <c r="B15" s="631" t="s">
        <v>352</v>
      </c>
      <c r="C15" s="382">
        <v>1</v>
      </c>
      <c r="D15" s="867" t="s">
        <v>532</v>
      </c>
      <c r="E15" s="630"/>
      <c r="F15" s="631" t="s">
        <v>359</v>
      </c>
    </row>
    <row r="16" spans="1:8" x14ac:dyDescent="0.2">
      <c r="A16" s="478"/>
      <c r="B16" s="631" t="s">
        <v>360</v>
      </c>
      <c r="C16" s="382">
        <v>1</v>
      </c>
      <c r="D16" s="867" t="s">
        <v>541</v>
      </c>
      <c r="E16" s="630"/>
      <c r="F16" s="629" t="s">
        <v>358</v>
      </c>
    </row>
    <row r="17" spans="1:6" x14ac:dyDescent="0.2">
      <c r="A17" s="478"/>
      <c r="B17" s="629" t="s">
        <v>348</v>
      </c>
      <c r="C17" s="630">
        <v>1</v>
      </c>
      <c r="D17" s="867" t="s">
        <v>550</v>
      </c>
      <c r="E17" s="630"/>
      <c r="F17" s="631" t="s">
        <v>147</v>
      </c>
    </row>
    <row r="18" spans="1:6" x14ac:dyDescent="0.2">
      <c r="A18" s="717" t="s">
        <v>242</v>
      </c>
      <c r="B18" s="718"/>
      <c r="C18" s="632"/>
      <c r="D18" s="46"/>
      <c r="E18" s="632"/>
      <c r="F18" s="46"/>
    </row>
    <row r="19" spans="1:6" x14ac:dyDescent="0.2">
      <c r="A19" s="478"/>
      <c r="B19" s="629" t="s">
        <v>361</v>
      </c>
      <c r="C19" s="630"/>
      <c r="D19" s="867" t="s">
        <v>542</v>
      </c>
      <c r="E19" s="630">
        <v>1</v>
      </c>
      <c r="F19" s="631" t="s">
        <v>352</v>
      </c>
    </row>
    <row r="20" spans="1:6" x14ac:dyDescent="0.2">
      <c r="A20" s="478"/>
      <c r="B20" s="631" t="s">
        <v>360</v>
      </c>
      <c r="C20" s="382"/>
      <c r="D20" s="867" t="s">
        <v>529</v>
      </c>
      <c r="E20" s="630">
        <v>1</v>
      </c>
      <c r="F20" s="631" t="s">
        <v>359</v>
      </c>
    </row>
    <row r="21" spans="1:6" x14ac:dyDescent="0.2">
      <c r="A21" s="478"/>
      <c r="B21" s="629" t="s">
        <v>348</v>
      </c>
      <c r="C21" s="630"/>
      <c r="D21" s="867" t="s">
        <v>543</v>
      </c>
      <c r="E21" s="630">
        <v>1</v>
      </c>
      <c r="F21" s="629" t="s">
        <v>353</v>
      </c>
    </row>
    <row r="22" spans="1:6" x14ac:dyDescent="0.2">
      <c r="A22" s="478"/>
      <c r="B22" s="629" t="s">
        <v>358</v>
      </c>
      <c r="C22" s="630">
        <v>1</v>
      </c>
      <c r="D22" s="867" t="s">
        <v>550</v>
      </c>
      <c r="E22" s="630"/>
      <c r="F22" s="631" t="s">
        <v>147</v>
      </c>
    </row>
    <row r="23" spans="1:6" x14ac:dyDescent="0.2">
      <c r="A23" s="717" t="s">
        <v>319</v>
      </c>
      <c r="B23" s="718"/>
      <c r="C23" s="632"/>
      <c r="D23" s="46"/>
      <c r="E23" s="632"/>
      <c r="F23" s="46"/>
    </row>
    <row r="24" spans="1:6" x14ac:dyDescent="0.2">
      <c r="A24" s="478"/>
      <c r="B24" s="629" t="s">
        <v>353</v>
      </c>
      <c r="C24" s="630"/>
      <c r="D24" s="867" t="s">
        <v>544</v>
      </c>
      <c r="E24" s="630">
        <v>1</v>
      </c>
      <c r="F24" s="631" t="s">
        <v>352</v>
      </c>
    </row>
    <row r="25" spans="1:6" x14ac:dyDescent="0.2">
      <c r="A25" s="478"/>
      <c r="B25" s="629" t="s">
        <v>361</v>
      </c>
      <c r="C25" s="630"/>
      <c r="D25" s="867" t="s">
        <v>529</v>
      </c>
      <c r="E25" s="630">
        <v>1</v>
      </c>
      <c r="F25" s="631" t="s">
        <v>359</v>
      </c>
    </row>
    <row r="26" spans="1:6" x14ac:dyDescent="0.2">
      <c r="A26" s="478"/>
      <c r="B26" s="629" t="s">
        <v>358</v>
      </c>
      <c r="C26" s="630"/>
      <c r="D26" s="867" t="s">
        <v>542</v>
      </c>
      <c r="E26" s="630">
        <v>1</v>
      </c>
      <c r="F26" s="629" t="s">
        <v>348</v>
      </c>
    </row>
    <row r="27" spans="1:6" x14ac:dyDescent="0.2">
      <c r="A27" s="478"/>
      <c r="B27" s="631" t="s">
        <v>360</v>
      </c>
      <c r="C27" s="382">
        <v>1</v>
      </c>
      <c r="D27" s="867" t="s">
        <v>550</v>
      </c>
      <c r="E27" s="630"/>
      <c r="F27" s="631" t="s">
        <v>147</v>
      </c>
    </row>
    <row r="28" spans="1:6" x14ac:dyDescent="0.2">
      <c r="A28" s="717" t="s">
        <v>322</v>
      </c>
      <c r="B28" s="718"/>
      <c r="C28" s="632"/>
      <c r="D28" s="46"/>
      <c r="E28" s="632"/>
      <c r="F28" s="46"/>
    </row>
    <row r="29" spans="1:6" x14ac:dyDescent="0.2">
      <c r="A29" s="478"/>
      <c r="B29" s="631" t="s">
        <v>352</v>
      </c>
      <c r="C29" s="382">
        <v>1</v>
      </c>
      <c r="D29" s="867" t="s">
        <v>531</v>
      </c>
      <c r="E29" s="630"/>
      <c r="F29" s="629" t="s">
        <v>358</v>
      </c>
    </row>
    <row r="30" spans="1:6" x14ac:dyDescent="0.2">
      <c r="A30" s="478"/>
      <c r="B30" s="629" t="s">
        <v>353</v>
      </c>
      <c r="C30" s="630"/>
      <c r="D30" s="867" t="s">
        <v>534</v>
      </c>
      <c r="E30" s="630">
        <v>1</v>
      </c>
      <c r="F30" s="631" t="s">
        <v>360</v>
      </c>
    </row>
    <row r="31" spans="1:6" x14ac:dyDescent="0.2">
      <c r="A31" s="478"/>
      <c r="B31" s="631" t="s">
        <v>359</v>
      </c>
      <c r="C31" s="382">
        <v>1</v>
      </c>
      <c r="D31" s="867" t="s">
        <v>533</v>
      </c>
      <c r="E31" s="630"/>
      <c r="F31" s="629" t="s">
        <v>348</v>
      </c>
    </row>
    <row r="32" spans="1:6" x14ac:dyDescent="0.2">
      <c r="A32" s="478"/>
      <c r="B32" s="629" t="s">
        <v>361</v>
      </c>
      <c r="C32" s="630">
        <v>1</v>
      </c>
      <c r="D32" s="867" t="s">
        <v>550</v>
      </c>
      <c r="E32" s="630"/>
      <c r="F32" s="631" t="s">
        <v>147</v>
      </c>
    </row>
    <row r="33" spans="1:10" x14ac:dyDescent="0.2">
      <c r="A33" s="478"/>
      <c r="B33" s="46"/>
      <c r="C33" s="632"/>
      <c r="D33" s="46"/>
      <c r="E33" s="632"/>
      <c r="F33" s="46"/>
    </row>
    <row r="34" spans="1:10" x14ac:dyDescent="0.2">
      <c r="A34" s="543" t="s">
        <v>364</v>
      </c>
      <c r="B34" s="46"/>
      <c r="C34" s="632"/>
      <c r="D34" s="46"/>
      <c r="E34" s="632"/>
      <c r="F34" s="46"/>
    </row>
    <row r="35" spans="1:10" x14ac:dyDescent="0.2">
      <c r="A35" s="478"/>
      <c r="B35" s="46"/>
      <c r="C35" s="632"/>
      <c r="D35" s="46"/>
      <c r="E35" s="632"/>
      <c r="F35" s="46"/>
    </row>
    <row r="36" spans="1:10" x14ac:dyDescent="0.2">
      <c r="A36" s="478"/>
      <c r="B36" s="631" t="s">
        <v>360</v>
      </c>
      <c r="C36" s="382">
        <v>1</v>
      </c>
      <c r="D36" s="867" t="s">
        <v>533</v>
      </c>
      <c r="E36" s="630"/>
      <c r="F36" s="629" t="s">
        <v>361</v>
      </c>
    </row>
    <row r="37" spans="1:10" x14ac:dyDescent="0.2">
      <c r="A37" s="478"/>
      <c r="B37" s="553"/>
      <c r="C37" s="553"/>
      <c r="D37" s="276"/>
      <c r="E37" s="276"/>
      <c r="F37" s="33"/>
    </row>
    <row r="38" spans="1:10" x14ac:dyDescent="0.2">
      <c r="D38" s="549" t="s">
        <v>35</v>
      </c>
      <c r="E38" s="549"/>
    </row>
    <row r="39" spans="1:10" x14ac:dyDescent="0.2">
      <c r="A39" s="535">
        <v>1</v>
      </c>
      <c r="B39" s="538" t="s">
        <v>352</v>
      </c>
      <c r="C39" s="552"/>
      <c r="D39" s="547">
        <v>5</v>
      </c>
      <c r="E39" s="547"/>
    </row>
    <row r="40" spans="1:10" x14ac:dyDescent="0.2">
      <c r="A40" s="535">
        <v>2</v>
      </c>
      <c r="B40" s="539" t="s">
        <v>359</v>
      </c>
      <c r="C40" s="553"/>
      <c r="D40" s="547">
        <v>4</v>
      </c>
      <c r="E40" s="547"/>
      <c r="F40" s="852" t="s">
        <v>359</v>
      </c>
      <c r="G40" s="853"/>
      <c r="H40" s="854">
        <v>13</v>
      </c>
      <c r="I40" s="854" t="s">
        <v>522</v>
      </c>
      <c r="J40" s="854" t="s">
        <v>146</v>
      </c>
    </row>
    <row r="41" spans="1:10" x14ac:dyDescent="0.2">
      <c r="A41" s="535">
        <v>3</v>
      </c>
      <c r="B41" s="540" t="s">
        <v>360</v>
      </c>
      <c r="C41" s="553"/>
      <c r="D41" s="548" t="s">
        <v>363</v>
      </c>
      <c r="E41" s="548"/>
      <c r="F41" s="852" t="s">
        <v>360</v>
      </c>
      <c r="G41" s="854">
        <v>3</v>
      </c>
      <c r="H41" s="853"/>
      <c r="I41" s="854" t="s">
        <v>523</v>
      </c>
      <c r="J41" s="854" t="s">
        <v>260</v>
      </c>
    </row>
    <row r="42" spans="1:10" x14ac:dyDescent="0.2">
      <c r="A42" s="535">
        <v>4</v>
      </c>
      <c r="B42" s="536" t="s">
        <v>361</v>
      </c>
      <c r="C42" s="537"/>
      <c r="D42" s="547">
        <v>3</v>
      </c>
      <c r="E42" s="547"/>
    </row>
    <row r="43" spans="1:10" x14ac:dyDescent="0.2">
      <c r="A43" s="535">
        <v>5</v>
      </c>
      <c r="B43" s="536" t="s">
        <v>353</v>
      </c>
      <c r="C43" s="537"/>
      <c r="D43" s="547">
        <v>2</v>
      </c>
      <c r="E43" s="547"/>
      <c r="F43" s="852" t="s">
        <v>353</v>
      </c>
      <c r="G43" s="853"/>
      <c r="H43" s="854">
        <v>13</v>
      </c>
      <c r="I43" s="854" t="s">
        <v>522</v>
      </c>
      <c r="J43" s="854" t="s">
        <v>328</v>
      </c>
    </row>
    <row r="44" spans="1:10" x14ac:dyDescent="0.2">
      <c r="A44" s="535">
        <v>6</v>
      </c>
      <c r="B44" s="536" t="s">
        <v>348</v>
      </c>
      <c r="C44" s="537"/>
      <c r="D44" s="547">
        <v>2</v>
      </c>
      <c r="E44" s="547"/>
      <c r="F44" s="852" t="s">
        <v>348</v>
      </c>
      <c r="G44" s="854">
        <v>10</v>
      </c>
      <c r="H44" s="853"/>
      <c r="I44" s="854" t="s">
        <v>523</v>
      </c>
      <c r="J44" s="854" t="s">
        <v>329</v>
      </c>
    </row>
    <row r="45" spans="1:10" x14ac:dyDescent="0.2">
      <c r="A45" s="535">
        <v>7</v>
      </c>
      <c r="B45" s="536" t="s">
        <v>358</v>
      </c>
      <c r="C45" s="537"/>
      <c r="D45" s="547">
        <v>1</v>
      </c>
      <c r="E45" s="547"/>
    </row>
  </sheetData>
  <conditionalFormatting sqref="B39:C39">
    <cfRule type="duplicateValues" dxfId="29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portrait" verticalDpi="1200" r:id="rId1"/>
  <headerFooter>
    <oddHeader>&amp;R&amp;"Arial,Regular"&amp;9Page &amp;P of &amp;N</oddHeader>
  </headerFooter>
  <rowBreaks count="4" manualBreakCount="4">
    <brk id="48" max="16383" man="1"/>
    <brk id="86" max="16383" man="1"/>
    <brk id="124" max="16383" man="1"/>
    <brk id="15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2"/>
  <sheetViews>
    <sheetView showGridLines="0" showRowColHeaders="0" zoomScaleNormal="100" workbookViewId="0">
      <pane ySplit="2" topLeftCell="A27" activePane="bottomLeft" state="frozen"/>
      <selection activeCell="E12" sqref="E12"/>
      <selection pane="bottomLeft" activeCell="H1" sqref="H1"/>
    </sheetView>
  </sheetViews>
  <sheetFormatPr defaultRowHeight="12.75" x14ac:dyDescent="0.2"/>
  <cols>
    <col min="1" max="1" width="3.28515625" style="12" customWidth="1"/>
    <col min="2" max="2" width="33" style="12" bestFit="1" customWidth="1"/>
    <col min="3" max="3" width="2" style="12" customWidth="1"/>
    <col min="4" max="4" width="5.7109375" style="12" customWidth="1"/>
    <col min="5" max="5" width="2" style="12" customWidth="1"/>
    <col min="6" max="6" width="35" style="12" customWidth="1"/>
    <col min="7" max="16384" width="9.140625" style="12"/>
  </cols>
  <sheetData>
    <row r="1" spans="1:8" x14ac:dyDescent="0.2">
      <c r="A1" s="11" t="str">
        <f>UPPER((Kalend!E14)&amp;" - "&amp;(Kalend!C14)&amp;" - "&amp;(Kalend!D14))</f>
        <v>V3 - VOKA KARIKAS 3 -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"&amp;(Kalend!A14)&amp;" kell "&amp;(Kalend!B14)</f>
        <v>Toimumisaeg: K, 01.06.2016 kell 18:00</v>
      </c>
    </row>
    <row r="3" spans="1:8" x14ac:dyDescent="0.2">
      <c r="A3" s="478" t="str">
        <f>"Toimumiskoht: "&amp;(Kalend!F14)</f>
        <v>Toimumiskoht: Voka staadion</v>
      </c>
    </row>
    <row r="4" spans="1:8" x14ac:dyDescent="0.2">
      <c r="A4" s="478" t="str">
        <f>"Korraldaja: "&amp;(Kalend!G14)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8" spans="1:8" x14ac:dyDescent="0.2">
      <c r="A8" s="717" t="s">
        <v>236</v>
      </c>
      <c r="B8" s="718"/>
    </row>
    <row r="9" spans="1:8" x14ac:dyDescent="0.2">
      <c r="A9" s="478"/>
      <c r="B9" s="713"/>
      <c r="C9" s="630"/>
      <c r="D9" s="714"/>
      <c r="E9" s="382"/>
      <c r="F9" s="629"/>
    </row>
    <row r="10" spans="1:8" x14ac:dyDescent="0.2">
      <c r="A10" s="478"/>
      <c r="B10" s="713"/>
      <c r="C10" s="382"/>
      <c r="D10" s="714"/>
      <c r="E10" s="630"/>
      <c r="F10" s="713"/>
    </row>
    <row r="11" spans="1:8" x14ac:dyDescent="0.2">
      <c r="A11" s="478"/>
      <c r="B11" s="713"/>
      <c r="C11" s="382"/>
      <c r="D11" s="714"/>
      <c r="E11" s="630"/>
      <c r="F11" s="629"/>
    </row>
    <row r="12" spans="1:8" x14ac:dyDescent="0.2">
      <c r="A12" s="478"/>
      <c r="B12" s="713"/>
      <c r="C12" s="630"/>
      <c r="D12" s="714"/>
      <c r="E12" s="630"/>
      <c r="F12" s="629"/>
    </row>
    <row r="13" spans="1:8" x14ac:dyDescent="0.2">
      <c r="A13" s="717" t="s">
        <v>239</v>
      </c>
      <c r="B13" s="718"/>
      <c r="C13" s="632"/>
      <c r="D13" s="46"/>
      <c r="E13" s="632"/>
      <c r="F13" s="46"/>
    </row>
    <row r="14" spans="1:8" x14ac:dyDescent="0.2">
      <c r="A14" s="478"/>
      <c r="B14" s="713"/>
      <c r="C14" s="630"/>
      <c r="D14" s="714"/>
      <c r="E14" s="630"/>
      <c r="F14" s="629"/>
    </row>
    <row r="15" spans="1:8" x14ac:dyDescent="0.2">
      <c r="A15" s="478"/>
      <c r="B15" s="713"/>
      <c r="C15" s="382"/>
      <c r="D15" s="714"/>
      <c r="E15" s="630"/>
      <c r="F15" s="629"/>
    </row>
    <row r="16" spans="1:8" x14ac:dyDescent="0.2">
      <c r="A16" s="478"/>
      <c r="B16" s="713"/>
      <c r="C16" s="382"/>
      <c r="D16" s="714"/>
      <c r="E16" s="630"/>
      <c r="F16" s="713"/>
    </row>
    <row r="17" spans="1:6" x14ac:dyDescent="0.2">
      <c r="A17" s="478"/>
      <c r="B17" s="629"/>
      <c r="C17" s="630"/>
      <c r="D17" s="714"/>
      <c r="E17" s="630"/>
      <c r="F17" s="629"/>
    </row>
    <row r="18" spans="1:6" x14ac:dyDescent="0.2">
      <c r="A18" s="717" t="s">
        <v>242</v>
      </c>
      <c r="B18" s="718"/>
      <c r="C18" s="632"/>
      <c r="D18" s="46"/>
      <c r="E18" s="632"/>
      <c r="F18" s="46"/>
    </row>
    <row r="19" spans="1:6" x14ac:dyDescent="0.2">
      <c r="A19" s="478"/>
      <c r="B19" s="713"/>
      <c r="C19" s="630"/>
      <c r="D19" s="714"/>
      <c r="E19" s="630"/>
      <c r="F19" s="629"/>
    </row>
    <row r="20" spans="1:6" x14ac:dyDescent="0.2">
      <c r="A20" s="478"/>
      <c r="B20" s="713"/>
      <c r="C20" s="382"/>
      <c r="D20" s="714"/>
      <c r="E20" s="630"/>
      <c r="F20" s="629"/>
    </row>
    <row r="21" spans="1:6" x14ac:dyDescent="0.2">
      <c r="A21" s="478"/>
      <c r="B21" s="713"/>
      <c r="C21" s="630"/>
      <c r="D21" s="714"/>
      <c r="E21" s="630"/>
      <c r="F21" s="629"/>
    </row>
    <row r="22" spans="1:6" x14ac:dyDescent="0.2">
      <c r="A22" s="478"/>
      <c r="B22" s="629"/>
      <c r="C22" s="630"/>
      <c r="D22" s="714"/>
      <c r="E22" s="630"/>
      <c r="F22" s="713"/>
    </row>
    <row r="23" spans="1:6" x14ac:dyDescent="0.2">
      <c r="A23" s="717" t="s">
        <v>319</v>
      </c>
      <c r="B23" s="718"/>
      <c r="C23" s="632"/>
      <c r="D23" s="46"/>
      <c r="E23" s="632"/>
      <c r="F23" s="46"/>
    </row>
    <row r="24" spans="1:6" x14ac:dyDescent="0.2">
      <c r="A24" s="478"/>
      <c r="B24" s="713"/>
      <c r="C24" s="630"/>
      <c r="D24" s="714"/>
      <c r="E24" s="630"/>
      <c r="F24" s="713"/>
    </row>
    <row r="25" spans="1:6" x14ac:dyDescent="0.2">
      <c r="A25" s="478"/>
      <c r="B25" s="629"/>
      <c r="C25" s="630"/>
      <c r="D25" s="714"/>
      <c r="E25" s="630"/>
      <c r="F25" s="713"/>
    </row>
    <row r="26" spans="1:6" x14ac:dyDescent="0.2">
      <c r="A26" s="478"/>
      <c r="B26" s="629"/>
      <c r="C26" s="630"/>
      <c r="D26" s="714"/>
      <c r="E26" s="630"/>
      <c r="F26" s="629"/>
    </row>
    <row r="27" spans="1:6" x14ac:dyDescent="0.2">
      <c r="A27" s="478"/>
      <c r="B27" s="713"/>
      <c r="C27" s="382"/>
      <c r="D27" s="714"/>
      <c r="E27" s="630"/>
      <c r="F27" s="629"/>
    </row>
    <row r="28" spans="1:6" x14ac:dyDescent="0.2">
      <c r="A28" s="717" t="s">
        <v>322</v>
      </c>
      <c r="B28" s="718"/>
      <c r="C28" s="632"/>
      <c r="D28" s="46"/>
      <c r="E28" s="632"/>
      <c r="F28" s="46"/>
    </row>
    <row r="29" spans="1:6" x14ac:dyDescent="0.2">
      <c r="A29" s="478"/>
      <c r="B29" s="713"/>
      <c r="C29" s="382"/>
      <c r="D29" s="714"/>
      <c r="E29" s="630"/>
      <c r="F29" s="713"/>
    </row>
    <row r="30" spans="1:6" x14ac:dyDescent="0.2">
      <c r="A30" s="478"/>
      <c r="B30" s="629"/>
      <c r="C30" s="630"/>
      <c r="D30" s="714"/>
      <c r="E30" s="630"/>
      <c r="F30" s="713"/>
    </row>
    <row r="31" spans="1:6" x14ac:dyDescent="0.2">
      <c r="A31" s="478"/>
      <c r="B31" s="713"/>
      <c r="C31" s="382"/>
      <c r="D31" s="714"/>
      <c r="E31" s="630"/>
      <c r="F31" s="629"/>
    </row>
    <row r="32" spans="1:6" x14ac:dyDescent="0.2">
      <c r="A32" s="478"/>
      <c r="B32" s="713"/>
      <c r="C32" s="630"/>
      <c r="D32" s="714"/>
      <c r="E32" s="630"/>
      <c r="F32" s="629"/>
    </row>
    <row r="34" spans="1:6" x14ac:dyDescent="0.2">
      <c r="D34" s="549" t="s">
        <v>35</v>
      </c>
    </row>
    <row r="35" spans="1:6" x14ac:dyDescent="0.2">
      <c r="A35" s="535">
        <v>1</v>
      </c>
      <c r="B35" s="538" t="s">
        <v>352</v>
      </c>
      <c r="C35" s="552"/>
      <c r="D35" s="547"/>
    </row>
    <row r="36" spans="1:6" x14ac:dyDescent="0.2">
      <c r="A36" s="753">
        <v>2</v>
      </c>
      <c r="B36" s="539" t="s">
        <v>360</v>
      </c>
      <c r="C36" s="553"/>
      <c r="D36" s="547"/>
      <c r="F36" s="537"/>
    </row>
    <row r="37" spans="1:6" x14ac:dyDescent="0.2">
      <c r="A37" s="753">
        <v>3</v>
      </c>
      <c r="B37" s="540" t="s">
        <v>348</v>
      </c>
      <c r="C37" s="553"/>
      <c r="D37" s="548"/>
      <c r="F37" s="752"/>
    </row>
    <row r="38" spans="1:6" x14ac:dyDescent="0.2">
      <c r="A38" s="856">
        <v>4</v>
      </c>
      <c r="B38" s="536" t="s">
        <v>485</v>
      </c>
      <c r="C38" s="537"/>
      <c r="D38" s="547"/>
      <c r="F38" s="754"/>
    </row>
    <row r="39" spans="1:6" x14ac:dyDescent="0.2">
      <c r="A39" s="856">
        <v>4</v>
      </c>
      <c r="B39" s="536" t="s">
        <v>486</v>
      </c>
      <c r="C39" s="537"/>
      <c r="D39" s="547"/>
      <c r="F39" s="754"/>
    </row>
    <row r="40" spans="1:6" x14ac:dyDescent="0.2">
      <c r="A40" s="535">
        <v>6</v>
      </c>
      <c r="B40" s="536" t="s">
        <v>358</v>
      </c>
      <c r="C40" s="537"/>
      <c r="D40" s="547"/>
      <c r="F40" s="721"/>
    </row>
    <row r="41" spans="1:6" x14ac:dyDescent="0.2">
      <c r="A41" s="535">
        <v>7</v>
      </c>
      <c r="B41" s="536" t="s">
        <v>467</v>
      </c>
      <c r="C41" s="537"/>
      <c r="D41" s="547"/>
      <c r="F41" s="26"/>
    </row>
    <row r="42" spans="1:6" x14ac:dyDescent="0.2">
      <c r="A42" s="535">
        <v>8</v>
      </c>
      <c r="B42" s="715" t="s">
        <v>361</v>
      </c>
    </row>
  </sheetData>
  <conditionalFormatting sqref="B35:C35">
    <cfRule type="duplicateValues" dxfId="28" priority="8" stopIfTrue="1"/>
  </conditionalFormatting>
  <conditionalFormatting sqref="B42">
    <cfRule type="duplicateValues" dxfId="27" priority="2" stopIfTrue="1"/>
  </conditionalFormatting>
  <conditionalFormatting sqref="F38:F41">
    <cfRule type="duplicateValues" dxfId="26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2" manualBreakCount="2">
    <brk id="72" max="16383" man="1"/>
    <brk id="10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4"/>
  <sheetViews>
    <sheetView showGridLines="0" showRowColHeaders="0" zoomScaleNormal="100" workbookViewId="0">
      <pane ySplit="2" topLeftCell="A27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2" customWidth="1"/>
    <col min="2" max="2" width="37.5703125" style="12" bestFit="1" customWidth="1"/>
    <col min="3" max="3" width="2" style="12" customWidth="1"/>
    <col min="4" max="4" width="5.7109375" style="12" customWidth="1"/>
    <col min="5" max="5" width="2" style="12" customWidth="1"/>
    <col min="6" max="6" width="35" style="12" customWidth="1"/>
    <col min="7" max="16384" width="9.140625" style="12"/>
  </cols>
  <sheetData>
    <row r="1" spans="1:8" x14ac:dyDescent="0.2">
      <c r="A1" s="11" t="str">
        <f>UPPER((Kalend!E18)&amp;" - "&amp;(Kalend!C18)&amp;" - "&amp;(Kalend!D18))</f>
        <v>V4 - VOKA KARIKAS 4 -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"&amp;(Kalend!A18)&amp;" kell "&amp;(Kalend!B18)</f>
        <v>Toimumisaeg: K, 22.06.2016 kell 18:00</v>
      </c>
    </row>
    <row r="3" spans="1:8" x14ac:dyDescent="0.2">
      <c r="A3" s="478" t="str">
        <f>"Toimumiskoht: "&amp;(Kalend!F18)</f>
        <v>Toimumiskoht: Voka staadion</v>
      </c>
    </row>
    <row r="4" spans="1:8" x14ac:dyDescent="0.2">
      <c r="A4" s="478" t="str">
        <f>"Korraldaja: "&amp;(Kalend!G18)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8" spans="1:8" x14ac:dyDescent="0.2">
      <c r="A8" s="717" t="s">
        <v>236</v>
      </c>
      <c r="B8" s="718"/>
    </row>
    <row r="9" spans="1:8" x14ac:dyDescent="0.2">
      <c r="A9" s="478"/>
      <c r="B9" s="713"/>
      <c r="C9" s="630"/>
      <c r="D9" s="714"/>
      <c r="E9" s="382"/>
      <c r="F9" s="629"/>
    </row>
    <row r="10" spans="1:8" x14ac:dyDescent="0.2">
      <c r="A10" s="478"/>
      <c r="B10" s="713"/>
      <c r="C10" s="382"/>
      <c r="D10" s="714"/>
      <c r="E10" s="630"/>
      <c r="F10" s="713"/>
    </row>
    <row r="11" spans="1:8" x14ac:dyDescent="0.2">
      <c r="A11" s="478"/>
      <c r="B11" s="713"/>
      <c r="C11" s="382"/>
      <c r="D11" s="714"/>
      <c r="E11" s="630"/>
      <c r="F11" s="629"/>
    </row>
    <row r="12" spans="1:8" x14ac:dyDescent="0.2">
      <c r="A12" s="478"/>
      <c r="B12" s="713"/>
      <c r="C12" s="630"/>
      <c r="D12" s="714"/>
      <c r="E12" s="630"/>
      <c r="F12" s="629"/>
    </row>
    <row r="13" spans="1:8" x14ac:dyDescent="0.2">
      <c r="A13" s="717" t="s">
        <v>239</v>
      </c>
      <c r="B13" s="718"/>
      <c r="C13" s="632"/>
      <c r="D13" s="46"/>
      <c r="E13" s="632"/>
      <c r="F13" s="46"/>
    </row>
    <row r="14" spans="1:8" x14ac:dyDescent="0.2">
      <c r="A14" s="478"/>
      <c r="B14" s="713"/>
      <c r="C14" s="630"/>
      <c r="D14" s="714"/>
      <c r="E14" s="630"/>
      <c r="F14" s="629"/>
    </row>
    <row r="15" spans="1:8" x14ac:dyDescent="0.2">
      <c r="A15" s="478"/>
      <c r="B15" s="713"/>
      <c r="C15" s="382"/>
      <c r="D15" s="714"/>
      <c r="E15" s="630"/>
      <c r="F15" s="629"/>
    </row>
    <row r="16" spans="1:8" x14ac:dyDescent="0.2">
      <c r="A16" s="478"/>
      <c r="B16" s="713"/>
      <c r="C16" s="382"/>
      <c r="D16" s="714"/>
      <c r="E16" s="630"/>
      <c r="F16" s="713"/>
    </row>
    <row r="17" spans="1:6" x14ac:dyDescent="0.2">
      <c r="A17" s="478"/>
      <c r="B17" s="629"/>
      <c r="C17" s="630"/>
      <c r="D17" s="714"/>
      <c r="E17" s="630"/>
      <c r="F17" s="629"/>
    </row>
    <row r="18" spans="1:6" x14ac:dyDescent="0.2">
      <c r="A18" s="717" t="s">
        <v>242</v>
      </c>
      <c r="B18" s="718"/>
      <c r="C18" s="632"/>
      <c r="D18" s="46"/>
      <c r="E18" s="632"/>
      <c r="F18" s="46"/>
    </row>
    <row r="19" spans="1:6" x14ac:dyDescent="0.2">
      <c r="A19" s="478"/>
      <c r="B19" s="713"/>
      <c r="C19" s="630"/>
      <c r="D19" s="714"/>
      <c r="E19" s="630"/>
      <c r="F19" s="629"/>
    </row>
    <row r="20" spans="1:6" x14ac:dyDescent="0.2">
      <c r="A20" s="478"/>
      <c r="B20" s="713"/>
      <c r="C20" s="382"/>
      <c r="D20" s="714"/>
      <c r="E20" s="630"/>
      <c r="F20" s="629"/>
    </row>
    <row r="21" spans="1:6" x14ac:dyDescent="0.2">
      <c r="A21" s="478"/>
      <c r="B21" s="713"/>
      <c r="C21" s="630"/>
      <c r="D21" s="714"/>
      <c r="E21" s="630"/>
      <c r="F21" s="629"/>
    </row>
    <row r="22" spans="1:6" x14ac:dyDescent="0.2">
      <c r="A22" s="478"/>
      <c r="B22" s="629"/>
      <c r="C22" s="630"/>
      <c r="D22" s="714"/>
      <c r="E22" s="630"/>
      <c r="F22" s="713"/>
    </row>
    <row r="23" spans="1:6" x14ac:dyDescent="0.2">
      <c r="A23" s="717" t="s">
        <v>319</v>
      </c>
      <c r="B23" s="718"/>
      <c r="C23" s="632"/>
      <c r="D23" s="46"/>
      <c r="E23" s="632"/>
      <c r="F23" s="46"/>
    </row>
    <row r="24" spans="1:6" x14ac:dyDescent="0.2">
      <c r="A24" s="478"/>
      <c r="B24" s="713"/>
      <c r="C24" s="630"/>
      <c r="D24" s="714"/>
      <c r="E24" s="630"/>
      <c r="F24" s="713"/>
    </row>
    <row r="25" spans="1:6" x14ac:dyDescent="0.2">
      <c r="A25" s="478"/>
      <c r="B25" s="629"/>
      <c r="C25" s="630"/>
      <c r="D25" s="714"/>
      <c r="E25" s="630"/>
      <c r="F25" s="713"/>
    </row>
    <row r="26" spans="1:6" x14ac:dyDescent="0.2">
      <c r="A26" s="478"/>
      <c r="B26" s="629"/>
      <c r="C26" s="630"/>
      <c r="D26" s="714"/>
      <c r="E26" s="630"/>
      <c r="F26" s="629"/>
    </row>
    <row r="27" spans="1:6" x14ac:dyDescent="0.2">
      <c r="A27" s="478"/>
      <c r="B27" s="713"/>
      <c r="C27" s="382"/>
      <c r="D27" s="714"/>
      <c r="E27" s="630"/>
      <c r="F27" s="629"/>
    </row>
    <row r="28" spans="1:6" x14ac:dyDescent="0.2">
      <c r="A28" s="717" t="s">
        <v>322</v>
      </c>
      <c r="B28" s="718"/>
      <c r="C28" s="632"/>
      <c r="D28" s="46"/>
      <c r="E28" s="632"/>
      <c r="F28" s="46"/>
    </row>
    <row r="29" spans="1:6" x14ac:dyDescent="0.2">
      <c r="A29" s="478"/>
      <c r="B29" s="713"/>
      <c r="C29" s="382"/>
      <c r="D29" s="714"/>
      <c r="E29" s="630"/>
      <c r="F29" s="713"/>
    </row>
    <row r="30" spans="1:6" x14ac:dyDescent="0.2">
      <c r="A30" s="478"/>
      <c r="B30" s="629"/>
      <c r="C30" s="630"/>
      <c r="D30" s="714"/>
      <c r="E30" s="630"/>
      <c r="F30" s="713"/>
    </row>
    <row r="31" spans="1:6" x14ac:dyDescent="0.2">
      <c r="A31" s="478"/>
      <c r="B31" s="713"/>
      <c r="C31" s="382"/>
      <c r="D31" s="714"/>
      <c r="E31" s="630"/>
      <c r="F31" s="629"/>
    </row>
    <row r="32" spans="1:6" x14ac:dyDescent="0.2">
      <c r="A32" s="478"/>
      <c r="B32" s="713"/>
      <c r="C32" s="630"/>
      <c r="D32" s="714"/>
      <c r="E32" s="630"/>
      <c r="F32" s="629"/>
    </row>
    <row r="34" spans="1:6" x14ac:dyDescent="0.2">
      <c r="D34" s="549" t="s">
        <v>35</v>
      </c>
    </row>
    <row r="35" spans="1:6" x14ac:dyDescent="0.2">
      <c r="A35" s="535">
        <v>1</v>
      </c>
      <c r="B35" s="538" t="s">
        <v>352</v>
      </c>
      <c r="C35" s="552"/>
      <c r="D35" s="547"/>
    </row>
    <row r="36" spans="1:6" x14ac:dyDescent="0.2">
      <c r="A36" s="535">
        <v>2</v>
      </c>
      <c r="B36" s="539" t="s">
        <v>468</v>
      </c>
      <c r="C36" s="553"/>
      <c r="D36" s="547"/>
    </row>
    <row r="37" spans="1:6" x14ac:dyDescent="0.2">
      <c r="A37" s="535">
        <v>3</v>
      </c>
      <c r="B37" s="540" t="s">
        <v>469</v>
      </c>
      <c r="C37" s="553"/>
      <c r="D37" s="548"/>
    </row>
    <row r="38" spans="1:6" x14ac:dyDescent="0.2">
      <c r="A38" s="856">
        <v>4</v>
      </c>
      <c r="B38" s="536"/>
      <c r="C38" s="537"/>
      <c r="D38" s="547"/>
      <c r="F38" s="537" t="s">
        <v>348</v>
      </c>
    </row>
    <row r="39" spans="1:6" x14ac:dyDescent="0.2">
      <c r="A39" s="856">
        <v>4</v>
      </c>
      <c r="B39" s="536"/>
      <c r="C39" s="537"/>
      <c r="D39" s="547"/>
      <c r="F39" s="720" t="s">
        <v>15</v>
      </c>
    </row>
    <row r="40" spans="1:6" x14ac:dyDescent="0.2">
      <c r="A40" s="856">
        <v>4</v>
      </c>
      <c r="B40" s="536"/>
      <c r="C40" s="537"/>
      <c r="D40" s="547"/>
      <c r="F40" s="720" t="s">
        <v>346</v>
      </c>
    </row>
    <row r="41" spans="1:6" x14ac:dyDescent="0.2">
      <c r="A41" s="856">
        <v>4</v>
      </c>
      <c r="B41" s="536"/>
      <c r="C41" s="537"/>
      <c r="D41" s="547"/>
      <c r="F41" s="720" t="s">
        <v>347</v>
      </c>
    </row>
    <row r="42" spans="1:6" x14ac:dyDescent="0.2">
      <c r="A42" s="535">
        <v>8</v>
      </c>
      <c r="B42" s="536" t="s">
        <v>470</v>
      </c>
      <c r="F42" s="721" t="s">
        <v>68</v>
      </c>
    </row>
    <row r="43" spans="1:6" x14ac:dyDescent="0.2">
      <c r="F43" s="720" t="s">
        <v>345</v>
      </c>
    </row>
    <row r="44" spans="1:6" x14ac:dyDescent="0.2">
      <c r="F44" s="721" t="s">
        <v>454</v>
      </c>
    </row>
  </sheetData>
  <conditionalFormatting sqref="B35:C35">
    <cfRule type="duplicateValues" dxfId="25" priority="3" stopIfTrue="1"/>
  </conditionalFormatting>
  <conditionalFormatting sqref="F39:F44">
    <cfRule type="duplicateValues" dxfId="24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3" manualBreakCount="3">
    <brk id="44" max="16383" man="1"/>
    <brk id="82" max="16383" man="1"/>
    <brk id="11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5"/>
  <sheetViews>
    <sheetView showGridLines="0" showRowColHeaders="0" zoomScaleNormal="100" workbookViewId="0">
      <pane ySplit="2" topLeftCell="A35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2" customWidth="1"/>
    <col min="2" max="2" width="35" style="12" customWidth="1"/>
    <col min="3" max="3" width="2" style="12" customWidth="1"/>
    <col min="4" max="4" width="5.7109375" style="12" customWidth="1"/>
    <col min="5" max="5" width="2" style="12" customWidth="1"/>
    <col min="6" max="6" width="35" style="12" customWidth="1"/>
    <col min="7" max="16384" width="9.140625" style="12"/>
  </cols>
  <sheetData>
    <row r="1" spans="1:8" x14ac:dyDescent="0.2">
      <c r="A1" s="11" t="str">
        <f>UPPER((Kalend!E22)&amp;" - "&amp;(Kalend!C22)&amp;" - "&amp;(Kalend!D22))</f>
        <v>V5 - VOKA KARIKAS 5 -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"&amp;(Kalend!A22)&amp;" kell "&amp;(Kalend!B22)</f>
        <v>Toimumisaeg: K, 06.07.2016 kell 18:00</v>
      </c>
    </row>
    <row r="3" spans="1:8" x14ac:dyDescent="0.2">
      <c r="A3" s="478" t="str">
        <f>"Toimumiskoht: "&amp;(Kalend!F22)</f>
        <v>Toimumiskoht: Voka staadion</v>
      </c>
    </row>
    <row r="4" spans="1:8" x14ac:dyDescent="0.2">
      <c r="A4" s="478" t="str">
        <f>"Korraldaja: "&amp;(Kalend!G22)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8" spans="1:8" x14ac:dyDescent="0.2">
      <c r="A8" s="717" t="s">
        <v>236</v>
      </c>
      <c r="B8" s="718"/>
    </row>
    <row r="9" spans="1:8" x14ac:dyDescent="0.2">
      <c r="A9" s="478"/>
      <c r="B9" s="713"/>
      <c r="C9" s="630"/>
      <c r="D9" s="714"/>
      <c r="E9" s="382"/>
      <c r="F9" s="629"/>
    </row>
    <row r="10" spans="1:8" x14ac:dyDescent="0.2">
      <c r="A10" s="478"/>
      <c r="B10" s="713"/>
      <c r="C10" s="630"/>
      <c r="D10" s="714"/>
      <c r="E10" s="382"/>
      <c r="F10" s="629"/>
    </row>
    <row r="11" spans="1:8" x14ac:dyDescent="0.2">
      <c r="A11" s="478"/>
      <c r="B11" s="713"/>
      <c r="C11" s="630"/>
      <c r="D11" s="714"/>
      <c r="E11" s="382"/>
      <c r="F11" s="629"/>
    </row>
    <row r="12" spans="1:8" x14ac:dyDescent="0.2">
      <c r="A12" s="478"/>
      <c r="B12" s="713"/>
      <c r="C12" s="382"/>
      <c r="D12" s="714"/>
      <c r="E12" s="630"/>
      <c r="F12" s="713"/>
    </row>
    <row r="13" spans="1:8" x14ac:dyDescent="0.2">
      <c r="A13" s="478"/>
      <c r="B13" s="713"/>
      <c r="C13" s="382"/>
      <c r="D13" s="714"/>
      <c r="E13" s="630"/>
      <c r="F13" s="629"/>
    </row>
    <row r="14" spans="1:8" x14ac:dyDescent="0.2">
      <c r="A14" s="478"/>
      <c r="B14" s="713"/>
      <c r="C14" s="630"/>
      <c r="D14" s="714"/>
      <c r="E14" s="630"/>
      <c r="F14" s="629" t="s">
        <v>147</v>
      </c>
    </row>
    <row r="15" spans="1:8" x14ac:dyDescent="0.2">
      <c r="A15" s="717" t="s">
        <v>239</v>
      </c>
      <c r="B15" s="718"/>
      <c r="C15" s="632"/>
      <c r="D15" s="46"/>
      <c r="E15" s="632"/>
      <c r="F15" s="46"/>
    </row>
    <row r="16" spans="1:8" x14ac:dyDescent="0.2">
      <c r="A16" s="478"/>
      <c r="B16" s="713"/>
      <c r="C16" s="630"/>
      <c r="D16" s="714"/>
      <c r="E16" s="630"/>
      <c r="F16" s="629"/>
    </row>
    <row r="17" spans="1:6" x14ac:dyDescent="0.2">
      <c r="A17" s="478"/>
      <c r="B17" s="713"/>
      <c r="C17" s="630"/>
      <c r="D17" s="714"/>
      <c r="E17" s="630"/>
      <c r="F17" s="629"/>
    </row>
    <row r="18" spans="1:6" x14ac:dyDescent="0.2">
      <c r="A18" s="478"/>
      <c r="B18" s="713"/>
      <c r="C18" s="630"/>
      <c r="D18" s="714"/>
      <c r="E18" s="630"/>
      <c r="F18" s="629"/>
    </row>
    <row r="19" spans="1:6" x14ac:dyDescent="0.2">
      <c r="A19" s="478"/>
      <c r="B19" s="713"/>
      <c r="C19" s="382"/>
      <c r="D19" s="714"/>
      <c r="E19" s="630"/>
      <c r="F19" s="629"/>
    </row>
    <row r="20" spans="1:6" x14ac:dyDescent="0.2">
      <c r="A20" s="478"/>
      <c r="B20" s="713"/>
      <c r="C20" s="382"/>
      <c r="D20" s="714"/>
      <c r="E20" s="630"/>
      <c r="F20" s="713"/>
    </row>
    <row r="21" spans="1:6" x14ac:dyDescent="0.2">
      <c r="A21" s="478"/>
      <c r="B21" s="629"/>
      <c r="C21" s="630"/>
      <c r="D21" s="714"/>
      <c r="E21" s="630"/>
      <c r="F21" s="629" t="s">
        <v>147</v>
      </c>
    </row>
    <row r="22" spans="1:6" x14ac:dyDescent="0.2">
      <c r="A22" s="717" t="s">
        <v>242</v>
      </c>
      <c r="B22" s="718"/>
      <c r="C22" s="632"/>
      <c r="D22" s="46"/>
      <c r="E22" s="632"/>
      <c r="F22" s="46"/>
    </row>
    <row r="23" spans="1:6" x14ac:dyDescent="0.2">
      <c r="A23" s="478"/>
      <c r="B23" s="713"/>
      <c r="C23" s="630"/>
      <c r="D23" s="714"/>
      <c r="E23" s="630"/>
      <c r="F23" s="629"/>
    </row>
    <row r="24" spans="1:6" x14ac:dyDescent="0.2">
      <c r="A24" s="478"/>
      <c r="B24" s="713"/>
      <c r="C24" s="630"/>
      <c r="D24" s="714"/>
      <c r="E24" s="630"/>
      <c r="F24" s="629"/>
    </row>
    <row r="25" spans="1:6" x14ac:dyDescent="0.2">
      <c r="A25" s="478"/>
      <c r="B25" s="713"/>
      <c r="C25" s="630"/>
      <c r="D25" s="714"/>
      <c r="E25" s="630"/>
      <c r="F25" s="629"/>
    </row>
    <row r="26" spans="1:6" x14ac:dyDescent="0.2">
      <c r="A26" s="478"/>
      <c r="B26" s="713"/>
      <c r="C26" s="382"/>
      <c r="D26" s="714"/>
      <c r="E26" s="630"/>
      <c r="F26" s="629"/>
    </row>
    <row r="27" spans="1:6" x14ac:dyDescent="0.2">
      <c r="A27" s="478"/>
      <c r="B27" s="713"/>
      <c r="C27" s="630"/>
      <c r="D27" s="714"/>
      <c r="E27" s="630"/>
      <c r="F27" s="629"/>
    </row>
    <row r="28" spans="1:6" x14ac:dyDescent="0.2">
      <c r="A28" s="478"/>
      <c r="B28" s="629"/>
      <c r="C28" s="630"/>
      <c r="D28" s="714"/>
      <c r="E28" s="630"/>
      <c r="F28" s="719" t="s">
        <v>147</v>
      </c>
    </row>
    <row r="29" spans="1:6" x14ac:dyDescent="0.2">
      <c r="A29" s="717" t="s">
        <v>319</v>
      </c>
      <c r="B29" s="718"/>
      <c r="C29" s="632"/>
      <c r="D29" s="46"/>
      <c r="E29" s="632"/>
      <c r="F29" s="46"/>
    </row>
    <row r="30" spans="1:6" x14ac:dyDescent="0.2">
      <c r="A30" s="478"/>
      <c r="B30" s="713"/>
      <c r="C30" s="630"/>
      <c r="D30" s="714"/>
      <c r="E30" s="630"/>
      <c r="F30" s="713"/>
    </row>
    <row r="31" spans="1:6" x14ac:dyDescent="0.2">
      <c r="A31" s="478"/>
      <c r="B31" s="713"/>
      <c r="C31" s="630"/>
      <c r="D31" s="714"/>
      <c r="E31" s="630"/>
      <c r="F31" s="713"/>
    </row>
    <row r="32" spans="1:6" x14ac:dyDescent="0.2">
      <c r="A32" s="478"/>
      <c r="B32" s="713"/>
      <c r="C32" s="630"/>
      <c r="D32" s="714"/>
      <c r="E32" s="630"/>
      <c r="F32" s="713"/>
    </row>
    <row r="33" spans="1:6" x14ac:dyDescent="0.2">
      <c r="A33" s="478"/>
      <c r="B33" s="629"/>
      <c r="C33" s="630"/>
      <c r="D33" s="714"/>
      <c r="E33" s="630"/>
      <c r="F33" s="713"/>
    </row>
    <row r="34" spans="1:6" x14ac:dyDescent="0.2">
      <c r="A34" s="478"/>
      <c r="B34" s="629"/>
      <c r="C34" s="630"/>
      <c r="D34" s="714"/>
      <c r="E34" s="630"/>
      <c r="F34" s="629"/>
    </row>
    <row r="35" spans="1:6" x14ac:dyDescent="0.2">
      <c r="A35" s="478"/>
      <c r="B35" s="713"/>
      <c r="C35" s="382"/>
      <c r="D35" s="714"/>
      <c r="E35" s="630"/>
      <c r="F35" s="629" t="s">
        <v>147</v>
      </c>
    </row>
    <row r="36" spans="1:6" x14ac:dyDescent="0.2">
      <c r="A36" s="717" t="s">
        <v>322</v>
      </c>
      <c r="B36" s="718"/>
      <c r="C36" s="632"/>
      <c r="D36" s="46"/>
      <c r="E36" s="632"/>
      <c r="F36" s="46"/>
    </row>
    <row r="37" spans="1:6" x14ac:dyDescent="0.2">
      <c r="A37" s="478"/>
      <c r="B37" s="713"/>
      <c r="C37" s="382"/>
      <c r="D37" s="714"/>
      <c r="E37" s="630"/>
      <c r="F37" s="713"/>
    </row>
    <row r="38" spans="1:6" x14ac:dyDescent="0.2">
      <c r="A38" s="478"/>
      <c r="B38" s="713"/>
      <c r="C38" s="382"/>
      <c r="D38" s="714"/>
      <c r="E38" s="630"/>
      <c r="F38" s="713"/>
    </row>
    <row r="39" spans="1:6" x14ac:dyDescent="0.2">
      <c r="A39" s="478"/>
      <c r="B39" s="713"/>
      <c r="C39" s="382"/>
      <c r="D39" s="714"/>
      <c r="E39" s="630"/>
      <c r="F39" s="713"/>
    </row>
    <row r="40" spans="1:6" x14ac:dyDescent="0.2">
      <c r="A40" s="478"/>
      <c r="B40" s="629"/>
      <c r="C40" s="630"/>
      <c r="D40" s="714"/>
      <c r="E40" s="630"/>
      <c r="F40" s="713"/>
    </row>
    <row r="41" spans="1:6" x14ac:dyDescent="0.2">
      <c r="A41" s="478"/>
      <c r="B41" s="713"/>
      <c r="C41" s="382"/>
      <c r="D41" s="714"/>
      <c r="E41" s="630"/>
      <c r="F41" s="629"/>
    </row>
    <row r="42" spans="1:6" x14ac:dyDescent="0.2">
      <c r="A42" s="478"/>
      <c r="B42" s="713"/>
      <c r="C42" s="630"/>
      <c r="D42" s="714"/>
      <c r="E42" s="630"/>
      <c r="F42" s="629" t="s">
        <v>147</v>
      </c>
    </row>
    <row r="44" spans="1:6" x14ac:dyDescent="0.2">
      <c r="D44" s="549" t="s">
        <v>35</v>
      </c>
    </row>
    <row r="45" spans="1:6" x14ac:dyDescent="0.2">
      <c r="A45" s="535">
        <v>1</v>
      </c>
      <c r="B45" s="538" t="s">
        <v>354</v>
      </c>
      <c r="C45" s="552"/>
      <c r="D45" s="547"/>
    </row>
    <row r="46" spans="1:6" x14ac:dyDescent="0.2">
      <c r="A46" s="535">
        <v>2</v>
      </c>
      <c r="B46" s="539" t="s">
        <v>471</v>
      </c>
      <c r="C46" s="553"/>
      <c r="D46" s="547"/>
    </row>
    <row r="47" spans="1:6" x14ac:dyDescent="0.2">
      <c r="A47" s="535">
        <v>3</v>
      </c>
      <c r="B47" s="540" t="s">
        <v>427</v>
      </c>
      <c r="C47" s="553"/>
      <c r="D47" s="548"/>
    </row>
    <row r="48" spans="1:6" x14ac:dyDescent="0.2">
      <c r="A48" s="535">
        <v>4</v>
      </c>
      <c r="B48" s="536" t="s">
        <v>472</v>
      </c>
      <c r="C48" s="537"/>
      <c r="D48" s="547"/>
    </row>
    <row r="49" spans="1:4" x14ac:dyDescent="0.2">
      <c r="A49" s="535">
        <v>5</v>
      </c>
      <c r="B49" s="715" t="s">
        <v>473</v>
      </c>
      <c r="C49" s="537"/>
      <c r="D49" s="547"/>
    </row>
    <row r="50" spans="1:4" x14ac:dyDescent="0.2">
      <c r="A50" s="535">
        <v>6</v>
      </c>
      <c r="B50" s="715" t="s">
        <v>348</v>
      </c>
      <c r="C50" s="537"/>
      <c r="D50" s="547"/>
    </row>
    <row r="51" spans="1:4" x14ac:dyDescent="0.2">
      <c r="A51" s="535">
        <v>7</v>
      </c>
      <c r="B51" s="715" t="s">
        <v>352</v>
      </c>
      <c r="C51" s="537"/>
      <c r="D51" s="547"/>
    </row>
    <row r="52" spans="1:4" x14ac:dyDescent="0.2">
      <c r="A52" s="535">
        <v>8</v>
      </c>
      <c r="B52" s="715" t="s">
        <v>358</v>
      </c>
    </row>
    <row r="53" spans="1:4" x14ac:dyDescent="0.2">
      <c r="A53" s="535">
        <v>9</v>
      </c>
      <c r="B53" s="716" t="s">
        <v>474</v>
      </c>
    </row>
    <row r="54" spans="1:4" x14ac:dyDescent="0.2">
      <c r="A54" s="856">
        <v>10</v>
      </c>
      <c r="B54" s="716" t="s">
        <v>463</v>
      </c>
    </row>
    <row r="55" spans="1:4" x14ac:dyDescent="0.2">
      <c r="A55" s="856">
        <v>10</v>
      </c>
      <c r="B55" s="716" t="s">
        <v>361</v>
      </c>
    </row>
  </sheetData>
  <conditionalFormatting sqref="B45:C45">
    <cfRule type="duplicateValues" dxfId="23" priority="6" stopIfTrue="1"/>
  </conditionalFormatting>
  <conditionalFormatting sqref="B49">
    <cfRule type="duplicateValues" dxfId="22" priority="5" stopIfTrue="1"/>
  </conditionalFormatting>
  <conditionalFormatting sqref="B50">
    <cfRule type="duplicateValues" dxfId="21" priority="4" stopIfTrue="1"/>
  </conditionalFormatting>
  <conditionalFormatting sqref="B51:B52">
    <cfRule type="duplicateValues" dxfId="20" priority="3" stopIfTrue="1"/>
  </conditionalFormatting>
  <conditionalFormatting sqref="B53:B54">
    <cfRule type="duplicateValues" dxfId="19" priority="2" stopIfTrue="1"/>
  </conditionalFormatting>
  <conditionalFormatting sqref="B55">
    <cfRule type="duplicateValues" dxfId="18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3" manualBreakCount="3">
    <brk id="61" max="16383" man="1"/>
    <brk id="99" max="16383" man="1"/>
    <brk id="13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2"/>
  <sheetViews>
    <sheetView showGridLines="0" showRowColHeaders="0" zoomScaleNormal="100" workbookViewId="0">
      <pane ySplit="2" topLeftCell="A27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2" customWidth="1"/>
    <col min="2" max="2" width="35" style="12" customWidth="1"/>
    <col min="3" max="3" width="2" style="12" customWidth="1"/>
    <col min="4" max="4" width="5.7109375" style="12" customWidth="1"/>
    <col min="5" max="5" width="2" style="12" customWidth="1"/>
    <col min="6" max="6" width="35" style="12" customWidth="1"/>
    <col min="7" max="16384" width="9.140625" style="12"/>
  </cols>
  <sheetData>
    <row r="1" spans="1:8" x14ac:dyDescent="0.2">
      <c r="A1" s="11" t="str">
        <f>UPPER((Kalend!E24)&amp;" - "&amp;(Kalend!C24)&amp;" - "&amp;(Kalend!D24))</f>
        <v>V6 - VOKA KARIKAS 6 -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"&amp;(Kalend!A24)&amp;" kell "&amp;(Kalend!B24)</f>
        <v>Toimumisaeg: K, 20.07.2016 kell 18:00</v>
      </c>
    </row>
    <row r="3" spans="1:8" x14ac:dyDescent="0.2">
      <c r="A3" s="478" t="str">
        <f>"Toimumiskoht: "&amp;(Kalend!F24)</f>
        <v>Toimumiskoht: Voka staadion</v>
      </c>
    </row>
    <row r="4" spans="1:8" x14ac:dyDescent="0.2">
      <c r="A4" s="478" t="str">
        <f>"Korraldaja: "&amp;(Kalend!G24)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8" spans="1:8" x14ac:dyDescent="0.2">
      <c r="A8" s="717" t="s">
        <v>236</v>
      </c>
      <c r="B8" s="718"/>
    </row>
    <row r="9" spans="1:8" x14ac:dyDescent="0.2">
      <c r="A9" s="478"/>
      <c r="B9" s="713"/>
      <c r="C9" s="630"/>
      <c r="D9" s="714"/>
      <c r="E9" s="382"/>
      <c r="F9" s="629"/>
    </row>
    <row r="10" spans="1:8" x14ac:dyDescent="0.2">
      <c r="A10" s="478"/>
      <c r="B10" s="713"/>
      <c r="C10" s="382"/>
      <c r="D10" s="714"/>
      <c r="E10" s="630"/>
      <c r="F10" s="713"/>
    </row>
    <row r="11" spans="1:8" x14ac:dyDescent="0.2">
      <c r="A11" s="478"/>
      <c r="B11" s="713"/>
      <c r="C11" s="382"/>
      <c r="D11" s="714"/>
      <c r="E11" s="630"/>
      <c r="F11" s="629"/>
    </row>
    <row r="12" spans="1:8" x14ac:dyDescent="0.2">
      <c r="A12" s="478"/>
      <c r="B12" s="713"/>
      <c r="C12" s="630"/>
      <c r="D12" s="714"/>
      <c r="E12" s="630"/>
      <c r="F12" s="629"/>
    </row>
    <row r="13" spans="1:8" x14ac:dyDescent="0.2">
      <c r="A13" s="717" t="s">
        <v>239</v>
      </c>
      <c r="B13" s="718"/>
      <c r="C13" s="632"/>
      <c r="D13" s="46"/>
      <c r="E13" s="632"/>
      <c r="F13" s="46"/>
    </row>
    <row r="14" spans="1:8" x14ac:dyDescent="0.2">
      <c r="A14" s="478"/>
      <c r="B14" s="713"/>
      <c r="C14" s="630"/>
      <c r="D14" s="714"/>
      <c r="E14" s="630"/>
      <c r="F14" s="629"/>
    </row>
    <row r="15" spans="1:8" x14ac:dyDescent="0.2">
      <c r="A15" s="478"/>
      <c r="B15" s="713"/>
      <c r="C15" s="382"/>
      <c r="D15" s="714"/>
      <c r="E15" s="630"/>
      <c r="F15" s="629"/>
    </row>
    <row r="16" spans="1:8" x14ac:dyDescent="0.2">
      <c r="A16" s="478"/>
      <c r="B16" s="713"/>
      <c r="C16" s="382"/>
      <c r="D16" s="714"/>
      <c r="E16" s="630"/>
      <c r="F16" s="713"/>
    </row>
    <row r="17" spans="1:6" x14ac:dyDescent="0.2">
      <c r="A17" s="478"/>
      <c r="B17" s="629"/>
      <c r="C17" s="630"/>
      <c r="D17" s="714"/>
      <c r="E17" s="630"/>
      <c r="F17" s="629"/>
    </row>
    <row r="18" spans="1:6" x14ac:dyDescent="0.2">
      <c r="A18" s="717" t="s">
        <v>242</v>
      </c>
      <c r="B18" s="718"/>
      <c r="C18" s="632"/>
      <c r="D18" s="46"/>
      <c r="E18" s="632"/>
      <c r="F18" s="46"/>
    </row>
    <row r="19" spans="1:6" x14ac:dyDescent="0.2">
      <c r="A19" s="478"/>
      <c r="B19" s="713"/>
      <c r="C19" s="630"/>
      <c r="D19" s="714"/>
      <c r="E19" s="630"/>
      <c r="F19" s="629"/>
    </row>
    <row r="20" spans="1:6" x14ac:dyDescent="0.2">
      <c r="A20" s="478"/>
      <c r="B20" s="713"/>
      <c r="C20" s="382"/>
      <c r="D20" s="714"/>
      <c r="E20" s="630"/>
      <c r="F20" s="629"/>
    </row>
    <row r="21" spans="1:6" x14ac:dyDescent="0.2">
      <c r="A21" s="478"/>
      <c r="B21" s="713"/>
      <c r="C21" s="630"/>
      <c r="D21" s="714"/>
      <c r="E21" s="630"/>
      <c r="F21" s="629"/>
    </row>
    <row r="22" spans="1:6" x14ac:dyDescent="0.2">
      <c r="A22" s="478"/>
      <c r="B22" s="629"/>
      <c r="C22" s="630"/>
      <c r="D22" s="714"/>
      <c r="E22" s="630"/>
      <c r="F22" s="713"/>
    </row>
    <row r="23" spans="1:6" x14ac:dyDescent="0.2">
      <c r="A23" s="717" t="s">
        <v>319</v>
      </c>
      <c r="B23" s="718"/>
      <c r="C23" s="632"/>
      <c r="D23" s="46"/>
      <c r="E23" s="632"/>
      <c r="F23" s="46"/>
    </row>
    <row r="24" spans="1:6" x14ac:dyDescent="0.2">
      <c r="A24" s="478"/>
      <c r="B24" s="713"/>
      <c r="C24" s="630"/>
      <c r="D24" s="714"/>
      <c r="E24" s="630"/>
      <c r="F24" s="713"/>
    </row>
    <row r="25" spans="1:6" x14ac:dyDescent="0.2">
      <c r="A25" s="478"/>
      <c r="B25" s="629"/>
      <c r="C25" s="630"/>
      <c r="D25" s="714"/>
      <c r="E25" s="630"/>
      <c r="F25" s="713"/>
    </row>
    <row r="26" spans="1:6" x14ac:dyDescent="0.2">
      <c r="A26" s="478"/>
      <c r="B26" s="629"/>
      <c r="C26" s="630"/>
      <c r="D26" s="714"/>
      <c r="E26" s="630"/>
      <c r="F26" s="629"/>
    </row>
    <row r="27" spans="1:6" x14ac:dyDescent="0.2">
      <c r="A27" s="478"/>
      <c r="B27" s="713"/>
      <c r="C27" s="382"/>
      <c r="D27" s="714"/>
      <c r="E27" s="630"/>
      <c r="F27" s="629"/>
    </row>
    <row r="28" spans="1:6" x14ac:dyDescent="0.2">
      <c r="A28" s="717" t="s">
        <v>322</v>
      </c>
      <c r="B28" s="718"/>
      <c r="C28" s="632"/>
      <c r="D28" s="46"/>
      <c r="E28" s="632"/>
      <c r="F28" s="46"/>
    </row>
    <row r="29" spans="1:6" x14ac:dyDescent="0.2">
      <c r="A29" s="478"/>
      <c r="B29" s="713"/>
      <c r="C29" s="382"/>
      <c r="D29" s="714"/>
      <c r="E29" s="630"/>
      <c r="F29" s="713"/>
    </row>
    <row r="30" spans="1:6" x14ac:dyDescent="0.2">
      <c r="A30" s="478"/>
      <c r="B30" s="629"/>
      <c r="C30" s="630"/>
      <c r="D30" s="714"/>
      <c r="E30" s="630"/>
      <c r="F30" s="713"/>
    </row>
    <row r="31" spans="1:6" x14ac:dyDescent="0.2">
      <c r="A31" s="478"/>
      <c r="B31" s="713"/>
      <c r="C31" s="382"/>
      <c r="D31" s="714"/>
      <c r="E31" s="630"/>
      <c r="F31" s="629"/>
    </row>
    <row r="32" spans="1:6" x14ac:dyDescent="0.2">
      <c r="A32" s="478"/>
      <c r="B32" s="713"/>
      <c r="C32" s="630"/>
      <c r="D32" s="714"/>
      <c r="E32" s="630"/>
      <c r="F32" s="629"/>
    </row>
    <row r="34" spans="1:4" x14ac:dyDescent="0.2">
      <c r="D34" s="549" t="s">
        <v>35</v>
      </c>
    </row>
    <row r="35" spans="1:4" x14ac:dyDescent="0.2">
      <c r="A35" s="535">
        <v>1</v>
      </c>
      <c r="B35" s="538" t="s">
        <v>352</v>
      </c>
      <c r="C35" s="552"/>
      <c r="D35" s="547"/>
    </row>
    <row r="36" spans="1:4" x14ac:dyDescent="0.2">
      <c r="A36" s="535">
        <v>2</v>
      </c>
      <c r="B36" s="539" t="s">
        <v>475</v>
      </c>
      <c r="C36" s="553"/>
      <c r="D36" s="547"/>
    </row>
    <row r="37" spans="1:4" x14ac:dyDescent="0.2">
      <c r="A37" s="535">
        <v>3</v>
      </c>
      <c r="B37" s="540" t="s">
        <v>361</v>
      </c>
      <c r="C37" s="553"/>
      <c r="D37" s="548"/>
    </row>
    <row r="38" spans="1:4" x14ac:dyDescent="0.2">
      <c r="A38" s="535">
        <v>4</v>
      </c>
      <c r="B38" s="715" t="s">
        <v>473</v>
      </c>
      <c r="C38" s="537"/>
      <c r="D38" s="547"/>
    </row>
    <row r="39" spans="1:4" x14ac:dyDescent="0.2">
      <c r="A39" s="535">
        <v>5</v>
      </c>
      <c r="B39" s="715" t="s">
        <v>348</v>
      </c>
      <c r="C39" s="537"/>
      <c r="D39" s="547"/>
    </row>
    <row r="40" spans="1:4" x14ac:dyDescent="0.2">
      <c r="A40" s="535">
        <v>6</v>
      </c>
      <c r="B40" s="709" t="s">
        <v>354</v>
      </c>
      <c r="C40" s="537"/>
      <c r="D40" s="547"/>
    </row>
    <row r="41" spans="1:4" x14ac:dyDescent="0.2">
      <c r="A41" s="535">
        <v>7</v>
      </c>
      <c r="B41" s="536" t="s">
        <v>360</v>
      </c>
      <c r="C41" s="537"/>
      <c r="D41" s="547"/>
    </row>
    <row r="42" spans="1:4" x14ac:dyDescent="0.2">
      <c r="A42" s="535">
        <v>8</v>
      </c>
      <c r="B42" s="536" t="s">
        <v>476</v>
      </c>
    </row>
  </sheetData>
  <conditionalFormatting sqref="B35:C35">
    <cfRule type="duplicateValues" dxfId="17" priority="3" stopIfTrue="1"/>
  </conditionalFormatting>
  <conditionalFormatting sqref="B38">
    <cfRule type="duplicateValues" dxfId="16" priority="2" stopIfTrue="1"/>
  </conditionalFormatting>
  <conditionalFormatting sqref="B39:B40">
    <cfRule type="duplicateValues" dxfId="15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portrait" verticalDpi="1200" r:id="rId1"/>
  <headerFooter>
    <oddHeader>&amp;R&amp;"Arial,Regular"&amp;9Page &amp;P of &amp;N</oddHeader>
  </headerFooter>
  <rowBreaks count="3" manualBreakCount="3">
    <brk id="44" max="16383" man="1"/>
    <brk id="82" max="16383" man="1"/>
    <brk id="117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2" customWidth="1"/>
    <col min="2" max="2" width="30.85546875" style="12" bestFit="1" customWidth="1"/>
    <col min="3" max="3" width="2" style="12" customWidth="1"/>
    <col min="4" max="4" width="5.7109375" style="12" customWidth="1"/>
    <col min="5" max="5" width="2" style="12" customWidth="1"/>
    <col min="6" max="6" width="30.85546875" style="12" bestFit="1" customWidth="1"/>
    <col min="7" max="8" width="3" style="12" bestFit="1" customWidth="1"/>
    <col min="9" max="9" width="3.5703125" style="12" bestFit="1" customWidth="1"/>
    <col min="10" max="10" width="3.5703125" style="845" bestFit="1" customWidth="1"/>
    <col min="11" max="11" width="3.5703125" style="12" bestFit="1" customWidth="1"/>
    <col min="12" max="12" width="3.140625" style="12" bestFit="1" customWidth="1"/>
    <col min="13" max="16384" width="9.140625" style="12"/>
  </cols>
  <sheetData>
    <row r="1" spans="1:8" x14ac:dyDescent="0.2">
      <c r="A1" s="11" t="str">
        <f>UPPER((Kalend!E28)&amp;" - "&amp;(Kalend!C28)&amp;" - "&amp;(Kalend!D28))</f>
        <v>V7 - VOKA KARIKAS 7 -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"&amp;(Kalend!A28)&amp;" kell "&amp;(Kalend!B28)</f>
        <v>Toimumisaeg: K, 03.08.2016 kell 18:00</v>
      </c>
    </row>
    <row r="3" spans="1:8" x14ac:dyDescent="0.2">
      <c r="A3" s="478" t="str">
        <f>"Toimumiskoht: "&amp;(Kalend!F28)</f>
        <v>Toimumiskoht: Voka staadion</v>
      </c>
    </row>
    <row r="4" spans="1:8" x14ac:dyDescent="0.2">
      <c r="A4" s="478" t="str">
        <f>"Korraldaja: "&amp;(Kalend!G28)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7" spans="1:8" x14ac:dyDescent="0.2">
      <c r="A7" s="478"/>
    </row>
    <row r="8" spans="1:8" x14ac:dyDescent="0.2">
      <c r="A8" s="717" t="s">
        <v>236</v>
      </c>
      <c r="B8" s="718"/>
    </row>
    <row r="9" spans="1:8" x14ac:dyDescent="0.2">
      <c r="A9" s="478"/>
      <c r="B9" s="631" t="s">
        <v>352</v>
      </c>
      <c r="C9" s="630">
        <v>1</v>
      </c>
      <c r="D9" s="867" t="s">
        <v>536</v>
      </c>
      <c r="E9" s="382"/>
      <c r="F9" s="629" t="s">
        <v>305</v>
      </c>
    </row>
    <row r="10" spans="1:8" x14ac:dyDescent="0.2">
      <c r="A10" s="478"/>
      <c r="B10" s="629" t="s">
        <v>348</v>
      </c>
      <c r="C10" s="630">
        <v>1</v>
      </c>
      <c r="D10" s="867" t="s">
        <v>539</v>
      </c>
      <c r="E10" s="382"/>
      <c r="F10" s="629" t="s">
        <v>463</v>
      </c>
    </row>
    <row r="11" spans="1:8" x14ac:dyDescent="0.2">
      <c r="A11" s="478"/>
      <c r="B11" s="713" t="s">
        <v>465</v>
      </c>
      <c r="C11" s="382">
        <v>1</v>
      </c>
      <c r="D11" s="867" t="s">
        <v>532</v>
      </c>
      <c r="E11" s="630"/>
      <c r="F11" s="713" t="s">
        <v>466</v>
      </c>
    </row>
    <row r="12" spans="1:8" x14ac:dyDescent="0.2">
      <c r="A12" s="478"/>
      <c r="B12" s="713" t="s">
        <v>361</v>
      </c>
      <c r="C12" s="382"/>
      <c r="D12" s="867" t="s">
        <v>545</v>
      </c>
      <c r="E12" s="630">
        <v>1</v>
      </c>
      <c r="F12" s="629" t="s">
        <v>427</v>
      </c>
    </row>
    <row r="13" spans="1:8" x14ac:dyDescent="0.2">
      <c r="A13" s="478"/>
      <c r="B13" s="713" t="s">
        <v>464</v>
      </c>
      <c r="C13" s="630">
        <v>1</v>
      </c>
      <c r="D13" s="867" t="s">
        <v>535</v>
      </c>
      <c r="E13" s="630"/>
      <c r="F13" s="629" t="s">
        <v>488</v>
      </c>
    </row>
    <row r="14" spans="1:8" x14ac:dyDescent="0.2">
      <c r="A14" s="717" t="s">
        <v>239</v>
      </c>
      <c r="B14" s="718"/>
      <c r="C14" s="632"/>
      <c r="D14" s="46"/>
      <c r="E14" s="632"/>
      <c r="F14" s="46"/>
    </row>
    <row r="15" spans="1:8" x14ac:dyDescent="0.2">
      <c r="A15" s="478"/>
      <c r="B15" s="713" t="s">
        <v>465</v>
      </c>
      <c r="C15" s="630"/>
      <c r="D15" s="867" t="s">
        <v>546</v>
      </c>
      <c r="E15" s="630">
        <v>1</v>
      </c>
      <c r="F15" s="629" t="s">
        <v>427</v>
      </c>
    </row>
    <row r="16" spans="1:8" x14ac:dyDescent="0.2">
      <c r="A16" s="478"/>
      <c r="B16" s="631" t="s">
        <v>352</v>
      </c>
      <c r="C16" s="382">
        <v>1</v>
      </c>
      <c r="D16" s="867" t="s">
        <v>533</v>
      </c>
      <c r="E16" s="630"/>
      <c r="F16" s="629" t="s">
        <v>348</v>
      </c>
    </row>
    <row r="17" spans="1:6" x14ac:dyDescent="0.2">
      <c r="A17" s="478"/>
      <c r="B17" s="713" t="s">
        <v>464</v>
      </c>
      <c r="C17" s="382">
        <v>1</v>
      </c>
      <c r="D17" s="867" t="s">
        <v>533</v>
      </c>
      <c r="E17" s="630"/>
      <c r="F17" s="629" t="s">
        <v>463</v>
      </c>
    </row>
    <row r="18" spans="1:6" x14ac:dyDescent="0.2">
      <c r="A18" s="478"/>
      <c r="B18" s="713" t="s">
        <v>361</v>
      </c>
      <c r="C18" s="382">
        <v>1</v>
      </c>
      <c r="D18" s="867" t="s">
        <v>528</v>
      </c>
      <c r="E18" s="630"/>
      <c r="F18" s="713" t="s">
        <v>466</v>
      </c>
    </row>
    <row r="19" spans="1:6" x14ac:dyDescent="0.2">
      <c r="A19" s="478"/>
      <c r="B19" s="629" t="s">
        <v>488</v>
      </c>
      <c r="C19" s="630"/>
      <c r="D19" s="867" t="s">
        <v>543</v>
      </c>
      <c r="E19" s="630">
        <v>1</v>
      </c>
      <c r="F19" s="629" t="s">
        <v>305</v>
      </c>
    </row>
    <row r="20" spans="1:6" x14ac:dyDescent="0.2">
      <c r="A20" s="717" t="s">
        <v>242</v>
      </c>
      <c r="B20" s="718"/>
      <c r="C20" s="632"/>
      <c r="D20" s="46"/>
      <c r="E20" s="632"/>
      <c r="F20" s="46"/>
    </row>
    <row r="21" spans="1:6" x14ac:dyDescent="0.2">
      <c r="A21" s="478"/>
      <c r="B21" s="631" t="s">
        <v>352</v>
      </c>
      <c r="C21" s="630">
        <v>1</v>
      </c>
      <c r="D21" s="867" t="s">
        <v>530</v>
      </c>
      <c r="E21" s="630"/>
      <c r="F21" s="629" t="s">
        <v>427</v>
      </c>
    </row>
    <row r="22" spans="1:6" x14ac:dyDescent="0.2">
      <c r="A22" s="478"/>
      <c r="B22" s="629" t="s">
        <v>348</v>
      </c>
      <c r="C22" s="382"/>
      <c r="D22" s="867" t="s">
        <v>545</v>
      </c>
      <c r="E22" s="630">
        <v>1</v>
      </c>
      <c r="F22" s="713" t="s">
        <v>464</v>
      </c>
    </row>
    <row r="23" spans="1:6" x14ac:dyDescent="0.2">
      <c r="A23" s="478"/>
      <c r="B23" s="713" t="s">
        <v>465</v>
      </c>
      <c r="C23" s="382">
        <v>1</v>
      </c>
      <c r="D23" s="867" t="s">
        <v>547</v>
      </c>
      <c r="E23" s="630"/>
      <c r="F23" s="629" t="s">
        <v>305</v>
      </c>
    </row>
    <row r="24" spans="1:6" x14ac:dyDescent="0.2">
      <c r="A24" s="478"/>
      <c r="B24" s="713" t="s">
        <v>361</v>
      </c>
      <c r="C24" s="630"/>
      <c r="D24" s="867" t="s">
        <v>548</v>
      </c>
      <c r="E24" s="630">
        <v>1</v>
      </c>
      <c r="F24" s="629" t="s">
        <v>463</v>
      </c>
    </row>
    <row r="25" spans="1:6" x14ac:dyDescent="0.2">
      <c r="A25" s="478"/>
      <c r="B25" s="629" t="s">
        <v>488</v>
      </c>
      <c r="C25" s="630">
        <v>1</v>
      </c>
      <c r="D25" s="867" t="s">
        <v>540</v>
      </c>
      <c r="E25" s="630"/>
      <c r="F25" s="713" t="s">
        <v>466</v>
      </c>
    </row>
    <row r="26" spans="1:6" x14ac:dyDescent="0.2">
      <c r="A26" s="717" t="s">
        <v>319</v>
      </c>
      <c r="B26" s="718"/>
      <c r="C26" s="632"/>
      <c r="D26" s="46"/>
      <c r="E26" s="632"/>
      <c r="F26" s="46"/>
    </row>
    <row r="27" spans="1:6" x14ac:dyDescent="0.2">
      <c r="A27" s="478"/>
      <c r="B27" s="631" t="s">
        <v>352</v>
      </c>
      <c r="C27" s="630">
        <v>1</v>
      </c>
      <c r="D27" s="867" t="s">
        <v>532</v>
      </c>
      <c r="E27" s="630"/>
      <c r="F27" s="713" t="s">
        <v>465</v>
      </c>
    </row>
    <row r="28" spans="1:6" x14ac:dyDescent="0.2">
      <c r="A28" s="478"/>
      <c r="B28" s="713" t="s">
        <v>464</v>
      </c>
      <c r="C28" s="630">
        <v>1</v>
      </c>
      <c r="D28" s="867" t="s">
        <v>540</v>
      </c>
      <c r="E28" s="630"/>
      <c r="F28" s="629" t="s">
        <v>427</v>
      </c>
    </row>
    <row r="29" spans="1:6" x14ac:dyDescent="0.2">
      <c r="A29" s="478"/>
      <c r="B29" s="629" t="s">
        <v>348</v>
      </c>
      <c r="C29" s="630">
        <v>1</v>
      </c>
      <c r="D29" s="867" t="s">
        <v>528</v>
      </c>
      <c r="E29" s="630"/>
      <c r="F29" s="713" t="s">
        <v>361</v>
      </c>
    </row>
    <row r="30" spans="1:6" x14ac:dyDescent="0.2">
      <c r="A30" s="478"/>
      <c r="B30" s="629" t="s">
        <v>488</v>
      </c>
      <c r="C30" s="630">
        <v>1</v>
      </c>
      <c r="D30" s="867" t="s">
        <v>541</v>
      </c>
      <c r="E30" s="630"/>
      <c r="F30" s="629" t="s">
        <v>463</v>
      </c>
    </row>
    <row r="31" spans="1:6" x14ac:dyDescent="0.2">
      <c r="A31" s="478"/>
      <c r="B31" s="713" t="s">
        <v>466</v>
      </c>
      <c r="C31" s="382"/>
      <c r="D31" s="867" t="s">
        <v>549</v>
      </c>
      <c r="E31" s="630">
        <v>1</v>
      </c>
      <c r="F31" s="629" t="s">
        <v>305</v>
      </c>
    </row>
    <row r="32" spans="1:6" x14ac:dyDescent="0.2">
      <c r="A32" s="717" t="s">
        <v>322</v>
      </c>
      <c r="B32" s="718"/>
      <c r="C32" s="632"/>
      <c r="D32" s="46"/>
      <c r="E32" s="632"/>
      <c r="F32" s="46"/>
    </row>
    <row r="33" spans="1:13" x14ac:dyDescent="0.2">
      <c r="A33" s="478"/>
      <c r="B33" s="713" t="s">
        <v>352</v>
      </c>
      <c r="C33" s="382"/>
      <c r="D33" s="867" t="s">
        <v>546</v>
      </c>
      <c r="E33" s="630">
        <v>1</v>
      </c>
      <c r="F33" s="713" t="s">
        <v>464</v>
      </c>
    </row>
    <row r="34" spans="1:13" x14ac:dyDescent="0.2">
      <c r="A34" s="478"/>
      <c r="B34" s="629" t="s">
        <v>427</v>
      </c>
      <c r="C34" s="382">
        <v>1</v>
      </c>
      <c r="D34" s="867" t="s">
        <v>535</v>
      </c>
      <c r="E34" s="630"/>
      <c r="F34" s="629" t="s">
        <v>488</v>
      </c>
    </row>
    <row r="35" spans="1:13" x14ac:dyDescent="0.2">
      <c r="A35" s="478"/>
      <c r="B35" s="629" t="s">
        <v>348</v>
      </c>
      <c r="C35" s="630"/>
      <c r="D35" s="867" t="s">
        <v>527</v>
      </c>
      <c r="E35" s="630">
        <v>1</v>
      </c>
      <c r="F35" s="713" t="s">
        <v>465</v>
      </c>
    </row>
    <row r="36" spans="1:13" x14ac:dyDescent="0.2">
      <c r="A36" s="478"/>
      <c r="B36" s="713" t="s">
        <v>361</v>
      </c>
      <c r="C36" s="382"/>
      <c r="D36" s="867" t="s">
        <v>549</v>
      </c>
      <c r="E36" s="630">
        <v>1</v>
      </c>
      <c r="F36" s="629" t="s">
        <v>305</v>
      </c>
    </row>
    <row r="37" spans="1:13" x14ac:dyDescent="0.2">
      <c r="A37" s="478"/>
      <c r="B37" s="713" t="s">
        <v>466</v>
      </c>
      <c r="C37" s="630">
        <v>1</v>
      </c>
      <c r="D37" s="867" t="s">
        <v>541</v>
      </c>
      <c r="E37" s="630"/>
      <c r="F37" s="629" t="s">
        <v>463</v>
      </c>
    </row>
    <row r="39" spans="1:13" x14ac:dyDescent="0.2">
      <c r="D39" s="549" t="s">
        <v>35</v>
      </c>
    </row>
    <row r="40" spans="1:13" x14ac:dyDescent="0.2">
      <c r="A40" s="535">
        <v>1</v>
      </c>
      <c r="B40" s="538" t="s">
        <v>464</v>
      </c>
      <c r="C40" s="552"/>
      <c r="D40" s="547">
        <v>4</v>
      </c>
      <c r="F40" s="855" t="s">
        <v>464</v>
      </c>
      <c r="G40" s="853"/>
      <c r="H40" s="854">
        <v>13</v>
      </c>
      <c r="I40" s="854">
        <v>13</v>
      </c>
      <c r="J40" s="857" t="s">
        <v>333</v>
      </c>
      <c r="K40" s="854" t="s">
        <v>259</v>
      </c>
    </row>
    <row r="41" spans="1:13" x14ac:dyDescent="0.2">
      <c r="A41" s="535">
        <v>2</v>
      </c>
      <c r="B41" s="539" t="s">
        <v>352</v>
      </c>
      <c r="C41" s="553"/>
      <c r="D41" s="547">
        <v>4</v>
      </c>
      <c r="F41" s="855" t="s">
        <v>352</v>
      </c>
      <c r="G41" s="854">
        <v>9</v>
      </c>
      <c r="H41" s="853"/>
      <c r="I41" s="854">
        <v>13</v>
      </c>
      <c r="J41" s="857" t="s">
        <v>335</v>
      </c>
      <c r="K41" s="854" t="s">
        <v>146</v>
      </c>
    </row>
    <row r="42" spans="1:13" x14ac:dyDescent="0.2">
      <c r="A42" s="535">
        <v>3</v>
      </c>
      <c r="B42" s="540" t="s">
        <v>427</v>
      </c>
      <c r="C42" s="553"/>
      <c r="D42" s="548">
        <v>4</v>
      </c>
      <c r="F42" s="855" t="s">
        <v>427</v>
      </c>
      <c r="G42" s="854">
        <v>10</v>
      </c>
      <c r="H42" s="854">
        <v>12</v>
      </c>
      <c r="I42" s="853"/>
      <c r="J42" s="857" t="s">
        <v>334</v>
      </c>
      <c r="K42" s="854" t="s">
        <v>260</v>
      </c>
    </row>
    <row r="43" spans="1:13" x14ac:dyDescent="0.2">
      <c r="A43" s="535">
        <v>4</v>
      </c>
      <c r="B43" s="713" t="s">
        <v>465</v>
      </c>
      <c r="C43" s="537"/>
      <c r="D43" s="547">
        <v>3</v>
      </c>
      <c r="F43" s="868" t="s">
        <v>465</v>
      </c>
      <c r="G43" s="869"/>
      <c r="H43" s="869">
        <v>13</v>
      </c>
      <c r="I43" s="870" t="s">
        <v>522</v>
      </c>
      <c r="J43" s="869" t="s">
        <v>261</v>
      </c>
    </row>
    <row r="44" spans="1:13" x14ac:dyDescent="0.2">
      <c r="A44" s="535">
        <v>5</v>
      </c>
      <c r="B44" s="629" t="s">
        <v>305</v>
      </c>
      <c r="C44" s="537"/>
      <c r="D44" s="547">
        <v>3</v>
      </c>
      <c r="F44" s="868" t="s">
        <v>305</v>
      </c>
      <c r="G44" s="869">
        <v>7</v>
      </c>
      <c r="H44" s="869"/>
      <c r="I44" s="870" t="s">
        <v>523</v>
      </c>
      <c r="J44" s="869" t="s">
        <v>328</v>
      </c>
    </row>
    <row r="45" spans="1:13" x14ac:dyDescent="0.2">
      <c r="A45" s="849">
        <v>6</v>
      </c>
      <c r="B45" s="629" t="s">
        <v>488</v>
      </c>
      <c r="C45" s="537"/>
      <c r="D45" s="547">
        <v>2</v>
      </c>
      <c r="F45" s="46"/>
    </row>
    <row r="46" spans="1:13" x14ac:dyDescent="0.2">
      <c r="A46" s="849">
        <v>6</v>
      </c>
      <c r="B46" s="629" t="s">
        <v>348</v>
      </c>
      <c r="C46" s="537"/>
      <c r="D46" s="547">
        <v>2</v>
      </c>
      <c r="F46" s="46"/>
    </row>
    <row r="47" spans="1:13" x14ac:dyDescent="0.2">
      <c r="A47" s="753">
        <v>8</v>
      </c>
      <c r="B47" s="629" t="s">
        <v>463</v>
      </c>
      <c r="D47" s="551">
        <v>1</v>
      </c>
      <c r="F47" s="855" t="s">
        <v>463</v>
      </c>
      <c r="G47" s="853"/>
      <c r="H47" s="854">
        <v>13</v>
      </c>
      <c r="I47" s="854">
        <v>9</v>
      </c>
      <c r="J47" s="857" t="s">
        <v>335</v>
      </c>
      <c r="K47" s="854" t="s">
        <v>520</v>
      </c>
      <c r="L47" s="848" t="s">
        <v>515</v>
      </c>
      <c r="M47" s="845"/>
    </row>
    <row r="48" spans="1:13" x14ac:dyDescent="0.2">
      <c r="A48" s="753">
        <v>9</v>
      </c>
      <c r="B48" s="756" t="s">
        <v>466</v>
      </c>
      <c r="D48" s="551">
        <v>1</v>
      </c>
      <c r="F48" s="855" t="s">
        <v>361</v>
      </c>
      <c r="G48" s="854">
        <v>4</v>
      </c>
      <c r="H48" s="853"/>
      <c r="I48" s="854">
        <v>13</v>
      </c>
      <c r="J48" s="857" t="s">
        <v>335</v>
      </c>
      <c r="K48" s="854" t="s">
        <v>521</v>
      </c>
      <c r="L48" s="848" t="s">
        <v>517</v>
      </c>
      <c r="M48" s="845"/>
    </row>
    <row r="49" spans="1:13" x14ac:dyDescent="0.2">
      <c r="A49" s="753">
        <v>10</v>
      </c>
      <c r="B49" s="713" t="s">
        <v>361</v>
      </c>
      <c r="D49" s="551">
        <v>1</v>
      </c>
      <c r="F49" s="855" t="s">
        <v>466</v>
      </c>
      <c r="G49" s="854">
        <v>13</v>
      </c>
      <c r="H49" s="854">
        <v>11</v>
      </c>
      <c r="I49" s="853"/>
      <c r="J49" s="857" t="s">
        <v>335</v>
      </c>
      <c r="K49" s="854" t="s">
        <v>519</v>
      </c>
      <c r="L49" s="848" t="s">
        <v>518</v>
      </c>
      <c r="M49" s="845"/>
    </row>
  </sheetData>
  <conditionalFormatting sqref="B40:C40">
    <cfRule type="duplicateValues" dxfId="14" priority="1" stopIfTrue="1"/>
  </conditionalFormatting>
  <pageMargins left="0.39370078740157483" right="0.39370078740157483" top="0.78740157480314965" bottom="0.39370078740157483" header="0.59055118110236227" footer="0"/>
  <pageSetup paperSize="9" fitToHeight="0" orientation="portrait" verticalDpi="1200" r:id="rId1"/>
  <headerFooter>
    <oddHeader>&amp;R&amp;"Arial,Regular"&amp;9Page &amp;P of &amp;N</oddHeader>
  </headerFooter>
  <rowBreaks count="3" manualBreakCount="3">
    <brk id="49" max="16383" man="1"/>
    <brk id="87" max="16383" man="1"/>
    <brk id="12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5"/>
  <sheetViews>
    <sheetView showGridLines="0" showRowColHeaders="0" zoomScaleNormal="100" workbookViewId="0">
      <pane ySplit="2" topLeftCell="A2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2" customWidth="1"/>
    <col min="2" max="2" width="35" style="12" customWidth="1"/>
    <col min="3" max="3" width="2" style="12" customWidth="1"/>
    <col min="4" max="4" width="5.7109375" style="12" customWidth="1"/>
    <col min="5" max="5" width="2" style="12" customWidth="1"/>
    <col min="6" max="6" width="35" style="12" customWidth="1"/>
    <col min="7" max="16384" width="9.140625" style="12"/>
  </cols>
  <sheetData>
    <row r="1" spans="1:8" x14ac:dyDescent="0.2">
      <c r="A1" s="11" t="str">
        <f>UPPER((Kalend!E32)&amp;" - "&amp;(Kalend!C32)&amp;" - "&amp;(Kalend!D32))</f>
        <v>V8 - VOKA KARIKAS 8 -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"&amp;(Kalend!A32)&amp;" kell "&amp;(Kalend!B32)</f>
        <v>Toimumisaeg: K, 17.08.2016 kell 18:00</v>
      </c>
    </row>
    <row r="3" spans="1:8" x14ac:dyDescent="0.2">
      <c r="A3" s="478" t="str">
        <f>"Toimumiskoht: "&amp;(Kalend!F32)</f>
        <v>Toimumiskoht: Voka staadion</v>
      </c>
    </row>
    <row r="4" spans="1:8" x14ac:dyDescent="0.2">
      <c r="A4" s="478" t="str">
        <f>"Korraldaja: "&amp;(Kalend!G32)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8" spans="1:8" x14ac:dyDescent="0.2">
      <c r="A8" s="717" t="s">
        <v>236</v>
      </c>
      <c r="B8" s="718"/>
    </row>
    <row r="9" spans="1:8" x14ac:dyDescent="0.2">
      <c r="A9" s="478"/>
      <c r="B9" s="719"/>
      <c r="C9" s="630"/>
      <c r="D9" s="714"/>
      <c r="E9" s="382"/>
      <c r="F9" s="629"/>
    </row>
    <row r="10" spans="1:8" x14ac:dyDescent="0.2">
      <c r="A10" s="478"/>
      <c r="B10" s="629"/>
      <c r="C10" s="630"/>
      <c r="D10" s="714"/>
      <c r="E10" s="382"/>
      <c r="F10" s="629"/>
    </row>
    <row r="11" spans="1:8" x14ac:dyDescent="0.2">
      <c r="A11" s="478"/>
      <c r="B11" s="719"/>
      <c r="C11" s="382"/>
      <c r="D11" s="714"/>
      <c r="E11" s="630"/>
      <c r="F11" s="719"/>
    </row>
    <row r="12" spans="1:8" x14ac:dyDescent="0.2">
      <c r="A12" s="717" t="s">
        <v>239</v>
      </c>
      <c r="B12" s="718"/>
      <c r="C12" s="632"/>
      <c r="D12" s="46"/>
      <c r="E12" s="632"/>
      <c r="F12" s="46"/>
    </row>
    <row r="13" spans="1:8" x14ac:dyDescent="0.2">
      <c r="A13" s="478"/>
      <c r="B13" s="719"/>
      <c r="C13" s="630"/>
      <c r="D13" s="714"/>
      <c r="E13" s="630"/>
      <c r="F13" s="629"/>
    </row>
    <row r="14" spans="1:8" x14ac:dyDescent="0.2">
      <c r="A14" s="478"/>
      <c r="B14" s="719"/>
      <c r="C14" s="382"/>
      <c r="D14" s="714"/>
      <c r="E14" s="630"/>
      <c r="F14" s="629"/>
    </row>
    <row r="15" spans="1:8" x14ac:dyDescent="0.2">
      <c r="A15" s="478"/>
      <c r="B15" s="719"/>
      <c r="C15" s="382"/>
      <c r="D15" s="714"/>
      <c r="E15" s="630"/>
      <c r="F15" s="629"/>
    </row>
    <row r="16" spans="1:8" x14ac:dyDescent="0.2">
      <c r="A16" s="717" t="s">
        <v>242</v>
      </c>
      <c r="B16" s="718"/>
      <c r="C16" s="632"/>
      <c r="D16" s="46"/>
      <c r="E16" s="632"/>
      <c r="F16" s="46"/>
    </row>
    <row r="17" spans="1:6" x14ac:dyDescent="0.2">
      <c r="A17" s="478"/>
      <c r="B17" s="719"/>
      <c r="C17" s="630"/>
      <c r="D17" s="714"/>
      <c r="E17" s="630"/>
      <c r="F17" s="629"/>
    </row>
    <row r="18" spans="1:6" x14ac:dyDescent="0.2">
      <c r="A18" s="478"/>
      <c r="B18" s="629"/>
      <c r="C18" s="382"/>
      <c r="D18" s="714"/>
      <c r="E18" s="630"/>
      <c r="F18" s="719"/>
    </row>
    <row r="19" spans="1:6" x14ac:dyDescent="0.2">
      <c r="A19" s="478"/>
      <c r="B19" s="719"/>
      <c r="C19" s="382"/>
      <c r="D19" s="714"/>
      <c r="E19" s="630"/>
      <c r="F19" s="629"/>
    </row>
    <row r="20" spans="1:6" x14ac:dyDescent="0.2">
      <c r="A20" s="717" t="s">
        <v>319</v>
      </c>
      <c r="B20" s="718"/>
      <c r="C20" s="632"/>
      <c r="D20" s="46"/>
      <c r="E20" s="632"/>
      <c r="F20" s="46"/>
    </row>
    <row r="21" spans="1:6" x14ac:dyDescent="0.2">
      <c r="A21" s="478"/>
      <c r="B21" s="719"/>
      <c r="C21" s="630"/>
      <c r="D21" s="714"/>
      <c r="E21" s="630"/>
      <c r="F21" s="719"/>
    </row>
    <row r="22" spans="1:6" x14ac:dyDescent="0.2">
      <c r="A22" s="478"/>
      <c r="B22" s="719"/>
      <c r="C22" s="630"/>
      <c r="D22" s="714"/>
      <c r="E22" s="630"/>
      <c r="F22" s="629"/>
    </row>
    <row r="23" spans="1:6" x14ac:dyDescent="0.2">
      <c r="A23" s="478"/>
      <c r="B23" s="629"/>
      <c r="C23" s="630"/>
      <c r="D23" s="714"/>
      <c r="E23" s="630"/>
      <c r="F23" s="719"/>
    </row>
    <row r="24" spans="1:6" x14ac:dyDescent="0.2">
      <c r="A24" s="717" t="s">
        <v>322</v>
      </c>
      <c r="B24" s="718"/>
      <c r="C24" s="632"/>
      <c r="D24" s="46"/>
      <c r="E24" s="632"/>
      <c r="F24" s="46"/>
    </row>
    <row r="25" spans="1:6" x14ac:dyDescent="0.2">
      <c r="A25" s="478"/>
      <c r="B25" s="719"/>
      <c r="C25" s="382"/>
      <c r="D25" s="714"/>
      <c r="E25" s="630"/>
      <c r="F25" s="719"/>
    </row>
    <row r="26" spans="1:6" x14ac:dyDescent="0.2">
      <c r="A26" s="478"/>
      <c r="B26" s="629"/>
      <c r="C26" s="382"/>
      <c r="D26" s="714"/>
      <c r="E26" s="630"/>
      <c r="F26" s="629"/>
    </row>
    <row r="27" spans="1:6" x14ac:dyDescent="0.2">
      <c r="A27" s="478"/>
      <c r="B27" s="629"/>
      <c r="C27" s="630"/>
      <c r="D27" s="714"/>
      <c r="E27" s="630"/>
      <c r="F27" s="719"/>
    </row>
    <row r="29" spans="1:6" x14ac:dyDescent="0.2">
      <c r="D29" s="549" t="s">
        <v>35</v>
      </c>
    </row>
    <row r="30" spans="1:6" x14ac:dyDescent="0.2">
      <c r="A30" s="535">
        <v>1</v>
      </c>
      <c r="B30" s="538" t="s">
        <v>484</v>
      </c>
      <c r="C30" s="552"/>
      <c r="D30" s="547"/>
    </row>
    <row r="31" spans="1:6" x14ac:dyDescent="0.2">
      <c r="A31" s="535">
        <v>2</v>
      </c>
      <c r="B31" s="539" t="s">
        <v>489</v>
      </c>
      <c r="C31" s="553"/>
      <c r="D31" s="547"/>
    </row>
    <row r="32" spans="1:6" x14ac:dyDescent="0.2">
      <c r="A32" s="535">
        <v>3</v>
      </c>
      <c r="B32" s="540" t="s">
        <v>354</v>
      </c>
      <c r="C32" s="553"/>
      <c r="D32" s="548"/>
    </row>
    <row r="33" spans="1:4" x14ac:dyDescent="0.2">
      <c r="A33" s="535">
        <v>4</v>
      </c>
      <c r="B33" s="536" t="s">
        <v>490</v>
      </c>
      <c r="C33" s="537"/>
      <c r="D33" s="547"/>
    </row>
    <row r="34" spans="1:4" x14ac:dyDescent="0.2">
      <c r="A34" s="535">
        <v>5</v>
      </c>
      <c r="B34" s="536" t="s">
        <v>463</v>
      </c>
      <c r="C34" s="537"/>
      <c r="D34" s="547"/>
    </row>
    <row r="35" spans="1:4" x14ac:dyDescent="0.2">
      <c r="A35" s="535">
        <v>6</v>
      </c>
      <c r="B35" s="536" t="s">
        <v>348</v>
      </c>
      <c r="C35" s="537"/>
      <c r="D35" s="547"/>
    </row>
  </sheetData>
  <conditionalFormatting sqref="B30:C30">
    <cfRule type="duplicateValues" dxfId="13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2" manualBreakCount="2">
    <brk id="66" max="16383" man="1"/>
    <brk id="10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3.28515625" style="12" customWidth="1"/>
    <col min="2" max="2" width="30.85546875" style="12" bestFit="1" customWidth="1"/>
    <col min="3" max="3" width="2" style="12" customWidth="1"/>
    <col min="4" max="4" width="5.7109375" style="12" customWidth="1"/>
    <col min="5" max="5" width="2" style="12" customWidth="1"/>
    <col min="6" max="6" width="30.85546875" style="12" bestFit="1" customWidth="1"/>
    <col min="7" max="9" width="3" style="12" bestFit="1" customWidth="1"/>
    <col min="10" max="10" width="3.5703125" style="12" bestFit="1" customWidth="1"/>
    <col min="11" max="12" width="3.140625" style="12" bestFit="1" customWidth="1"/>
    <col min="13" max="16384" width="9.140625" style="12"/>
  </cols>
  <sheetData>
    <row r="1" spans="1:8" x14ac:dyDescent="0.2">
      <c r="A1" s="11" t="str">
        <f>UPPER((Kalend!E36)&amp;" - "&amp;(Kalend!C36)&amp;" - "&amp;(Kalend!D36))</f>
        <v>V9 - VOKA KARIKAS 9 -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"&amp;(Kalend!A36)&amp;" kell "&amp;(Kalend!B36)</f>
        <v>Toimumisaeg: K, 07.09.2016 kell 18:00</v>
      </c>
    </row>
    <row r="3" spans="1:8" x14ac:dyDescent="0.2">
      <c r="A3" s="478" t="str">
        <f>"Toimumiskoht: "&amp;(Kalend!F36)</f>
        <v>Toimumiskoht: Voka staadion</v>
      </c>
    </row>
    <row r="4" spans="1:8" x14ac:dyDescent="0.2">
      <c r="A4" s="478" t="str">
        <f>"Korraldaja: "&amp;(Kalend!G36)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8" spans="1:8" x14ac:dyDescent="0.2">
      <c r="A8" s="717" t="s">
        <v>236</v>
      </c>
      <c r="B8" s="718"/>
    </row>
    <row r="9" spans="1:8" x14ac:dyDescent="0.2">
      <c r="A9" s="478"/>
      <c r="B9" s="842" t="s">
        <v>352</v>
      </c>
      <c r="C9" s="630"/>
      <c r="D9" s="867" t="s">
        <v>542</v>
      </c>
      <c r="E9" s="382">
        <v>1</v>
      </c>
      <c r="F9" s="629" t="s">
        <v>512</v>
      </c>
    </row>
    <row r="10" spans="1:8" x14ac:dyDescent="0.2">
      <c r="A10" s="478"/>
      <c r="B10" s="536" t="s">
        <v>348</v>
      </c>
      <c r="C10" s="630">
        <v>1</v>
      </c>
      <c r="D10" s="867" t="s">
        <v>547</v>
      </c>
      <c r="E10" s="382"/>
      <c r="F10" s="629" t="s">
        <v>463</v>
      </c>
    </row>
    <row r="11" spans="1:8" x14ac:dyDescent="0.2">
      <c r="A11" s="478"/>
      <c r="B11" s="536" t="s">
        <v>354</v>
      </c>
      <c r="C11" s="382">
        <v>1</v>
      </c>
      <c r="D11" s="867" t="s">
        <v>538</v>
      </c>
      <c r="E11" s="630"/>
      <c r="F11" s="536" t="s">
        <v>490</v>
      </c>
    </row>
    <row r="12" spans="1:8" x14ac:dyDescent="0.2">
      <c r="A12" s="478"/>
      <c r="B12" s="719" t="s">
        <v>427</v>
      </c>
      <c r="C12" s="382">
        <v>1</v>
      </c>
      <c r="D12" s="867" t="s">
        <v>539</v>
      </c>
      <c r="E12" s="630"/>
      <c r="F12" s="629" t="s">
        <v>513</v>
      </c>
    </row>
    <row r="13" spans="1:8" x14ac:dyDescent="0.2">
      <c r="A13" s="478"/>
      <c r="B13" s="943" t="s">
        <v>464</v>
      </c>
      <c r="C13" s="630">
        <v>1</v>
      </c>
      <c r="D13" s="867" t="s">
        <v>550</v>
      </c>
      <c r="E13" s="630"/>
      <c r="F13" s="629" t="s">
        <v>147</v>
      </c>
    </row>
    <row r="14" spans="1:8" x14ac:dyDescent="0.2">
      <c r="A14" s="717" t="s">
        <v>239</v>
      </c>
      <c r="B14" s="718"/>
      <c r="C14" s="632"/>
      <c r="D14" s="46"/>
      <c r="E14" s="632"/>
      <c r="F14" s="46"/>
    </row>
    <row r="15" spans="1:8" x14ac:dyDescent="0.2">
      <c r="A15" s="478"/>
      <c r="B15" s="756" t="s">
        <v>464</v>
      </c>
      <c r="C15" s="630">
        <v>1</v>
      </c>
      <c r="D15" s="867" t="s">
        <v>541</v>
      </c>
      <c r="E15" s="630"/>
      <c r="F15" s="536" t="s">
        <v>348</v>
      </c>
    </row>
    <row r="16" spans="1:8" x14ac:dyDescent="0.2">
      <c r="A16" s="478"/>
      <c r="B16" s="756" t="s">
        <v>427</v>
      </c>
      <c r="C16" s="382"/>
      <c r="D16" s="867" t="s">
        <v>543</v>
      </c>
      <c r="E16" s="630">
        <v>1</v>
      </c>
      <c r="F16" s="536" t="s">
        <v>354</v>
      </c>
    </row>
    <row r="17" spans="1:6" x14ac:dyDescent="0.2">
      <c r="A17" s="478"/>
      <c r="B17" s="629" t="s">
        <v>512</v>
      </c>
      <c r="C17" s="382">
        <v>1</v>
      </c>
      <c r="D17" s="867" t="s">
        <v>547</v>
      </c>
      <c r="E17" s="630"/>
      <c r="F17" s="629" t="s">
        <v>513</v>
      </c>
    </row>
    <row r="18" spans="1:6" x14ac:dyDescent="0.2">
      <c r="A18" s="478"/>
      <c r="B18" s="842" t="s">
        <v>352</v>
      </c>
      <c r="C18" s="382"/>
      <c r="D18" s="867" t="s">
        <v>542</v>
      </c>
      <c r="E18" s="630">
        <v>1</v>
      </c>
      <c r="F18" s="536" t="s">
        <v>490</v>
      </c>
    </row>
    <row r="19" spans="1:6" x14ac:dyDescent="0.2">
      <c r="A19" s="478"/>
      <c r="B19" s="629" t="s">
        <v>463</v>
      </c>
      <c r="C19" s="630">
        <v>1</v>
      </c>
      <c r="D19" s="867" t="s">
        <v>550</v>
      </c>
      <c r="E19" s="630"/>
      <c r="F19" s="629" t="s">
        <v>147</v>
      </c>
    </row>
    <row r="20" spans="1:6" x14ac:dyDescent="0.2">
      <c r="A20" s="717" t="s">
        <v>242</v>
      </c>
      <c r="B20" s="718"/>
      <c r="C20" s="632"/>
      <c r="D20" s="46"/>
      <c r="E20" s="632"/>
      <c r="F20" s="46"/>
    </row>
    <row r="21" spans="1:6" x14ac:dyDescent="0.2">
      <c r="A21" s="478"/>
      <c r="B21" s="536" t="s">
        <v>354</v>
      </c>
      <c r="C21" s="630"/>
      <c r="D21" s="867" t="s">
        <v>527</v>
      </c>
      <c r="E21" s="630">
        <v>1</v>
      </c>
      <c r="F21" s="629" t="s">
        <v>512</v>
      </c>
    </row>
    <row r="22" spans="1:6" x14ac:dyDescent="0.2">
      <c r="A22" s="478"/>
      <c r="B22" s="536" t="s">
        <v>348</v>
      </c>
      <c r="C22" s="382"/>
      <c r="D22" s="867" t="s">
        <v>551</v>
      </c>
      <c r="E22" s="630">
        <v>1</v>
      </c>
      <c r="F22" s="756" t="s">
        <v>427</v>
      </c>
    </row>
    <row r="23" spans="1:6" x14ac:dyDescent="0.2">
      <c r="A23" s="478"/>
      <c r="B23" s="756" t="s">
        <v>464</v>
      </c>
      <c r="C23" s="382">
        <v>1</v>
      </c>
      <c r="D23" s="867" t="s">
        <v>532</v>
      </c>
      <c r="E23" s="630"/>
      <c r="F23" s="629" t="s">
        <v>463</v>
      </c>
    </row>
    <row r="24" spans="1:6" x14ac:dyDescent="0.2">
      <c r="A24" s="478"/>
      <c r="B24" s="629" t="s">
        <v>513</v>
      </c>
      <c r="C24" s="630">
        <v>1</v>
      </c>
      <c r="D24" s="867" t="s">
        <v>530</v>
      </c>
      <c r="E24" s="630"/>
      <c r="F24" s="536" t="s">
        <v>490</v>
      </c>
    </row>
    <row r="25" spans="1:6" x14ac:dyDescent="0.2">
      <c r="A25" s="478"/>
      <c r="B25" s="842" t="s">
        <v>352</v>
      </c>
      <c r="C25" s="630">
        <v>1</v>
      </c>
      <c r="D25" s="867" t="s">
        <v>550</v>
      </c>
      <c r="E25" s="630"/>
      <c r="F25" s="842" t="s">
        <v>147</v>
      </c>
    </row>
    <row r="26" spans="1:6" x14ac:dyDescent="0.2">
      <c r="A26" s="717" t="s">
        <v>319</v>
      </c>
      <c r="B26" s="718"/>
      <c r="C26" s="632"/>
      <c r="D26" s="46"/>
      <c r="E26" s="632"/>
      <c r="F26" s="46"/>
    </row>
    <row r="27" spans="1:6" x14ac:dyDescent="0.2">
      <c r="A27" s="478"/>
      <c r="B27" s="756" t="s">
        <v>464</v>
      </c>
      <c r="C27" s="630">
        <v>1</v>
      </c>
      <c r="D27" s="867" t="s">
        <v>533</v>
      </c>
      <c r="E27" s="630"/>
      <c r="F27" s="629" t="s">
        <v>512</v>
      </c>
    </row>
    <row r="28" spans="1:6" x14ac:dyDescent="0.2">
      <c r="A28" s="478"/>
      <c r="B28" s="536" t="s">
        <v>348</v>
      </c>
      <c r="C28" s="630"/>
      <c r="D28" s="867" t="s">
        <v>527</v>
      </c>
      <c r="E28" s="630">
        <v>1</v>
      </c>
      <c r="F28" s="536" t="s">
        <v>354</v>
      </c>
    </row>
    <row r="29" spans="1:6" x14ac:dyDescent="0.2">
      <c r="A29" s="478"/>
      <c r="B29" s="756" t="s">
        <v>427</v>
      </c>
      <c r="C29" s="630">
        <v>1</v>
      </c>
      <c r="D29" s="867" t="s">
        <v>532</v>
      </c>
      <c r="E29" s="630"/>
      <c r="F29" s="536" t="s">
        <v>490</v>
      </c>
    </row>
    <row r="30" spans="1:6" x14ac:dyDescent="0.2">
      <c r="A30" s="478"/>
      <c r="B30" s="842" t="s">
        <v>352</v>
      </c>
      <c r="C30" s="630">
        <v>1</v>
      </c>
      <c r="D30" s="867" t="s">
        <v>536</v>
      </c>
      <c r="E30" s="630"/>
      <c r="F30" s="629" t="s">
        <v>463</v>
      </c>
    </row>
    <row r="31" spans="1:6" x14ac:dyDescent="0.2">
      <c r="A31" s="478"/>
      <c r="B31" s="629" t="s">
        <v>513</v>
      </c>
      <c r="C31" s="382">
        <v>1</v>
      </c>
      <c r="D31" s="867" t="s">
        <v>550</v>
      </c>
      <c r="E31" s="630"/>
      <c r="F31" s="842" t="s">
        <v>147</v>
      </c>
    </row>
    <row r="32" spans="1:6" x14ac:dyDescent="0.2">
      <c r="A32" s="717" t="s">
        <v>322</v>
      </c>
      <c r="B32" s="718"/>
      <c r="C32" s="632"/>
      <c r="D32" s="46"/>
      <c r="E32" s="632"/>
      <c r="F32" s="46"/>
    </row>
    <row r="33" spans="1:12" x14ac:dyDescent="0.2">
      <c r="A33" s="478"/>
      <c r="B33" s="842" t="s">
        <v>464</v>
      </c>
      <c r="C33" s="382"/>
      <c r="D33" s="867" t="s">
        <v>529</v>
      </c>
      <c r="E33" s="630">
        <v>1</v>
      </c>
      <c r="F33" s="536" t="s">
        <v>354</v>
      </c>
    </row>
    <row r="34" spans="1:12" x14ac:dyDescent="0.2">
      <c r="A34" s="478"/>
      <c r="B34" s="756" t="s">
        <v>427</v>
      </c>
      <c r="C34" s="382"/>
      <c r="D34" s="843" t="s">
        <v>362</v>
      </c>
      <c r="E34" s="630">
        <v>1</v>
      </c>
      <c r="F34" s="629" t="s">
        <v>512</v>
      </c>
    </row>
    <row r="35" spans="1:12" x14ac:dyDescent="0.2">
      <c r="A35" s="478"/>
      <c r="B35" s="842" t="s">
        <v>352</v>
      </c>
      <c r="C35" s="630">
        <v>1</v>
      </c>
      <c r="D35" s="867" t="s">
        <v>536</v>
      </c>
      <c r="E35" s="630"/>
      <c r="F35" s="629" t="s">
        <v>513</v>
      </c>
    </row>
    <row r="36" spans="1:12" x14ac:dyDescent="0.2">
      <c r="A36" s="478"/>
      <c r="B36" s="629" t="s">
        <v>463</v>
      </c>
      <c r="C36" s="382">
        <v>1</v>
      </c>
      <c r="D36" s="867" t="s">
        <v>532</v>
      </c>
      <c r="E36" s="630"/>
      <c r="F36" s="536" t="s">
        <v>348</v>
      </c>
    </row>
    <row r="37" spans="1:12" x14ac:dyDescent="0.2">
      <c r="A37" s="478"/>
      <c r="B37" s="536" t="s">
        <v>490</v>
      </c>
      <c r="C37" s="630">
        <v>1</v>
      </c>
      <c r="D37" s="867" t="s">
        <v>550</v>
      </c>
      <c r="E37" s="630"/>
      <c r="F37" s="842" t="s">
        <v>147</v>
      </c>
    </row>
    <row r="39" spans="1:12" x14ac:dyDescent="0.2">
      <c r="D39" s="549" t="s">
        <v>35</v>
      </c>
      <c r="F39" s="850"/>
      <c r="G39" s="851"/>
      <c r="H39" s="851"/>
      <c r="I39" s="851"/>
      <c r="J39" s="851"/>
    </row>
    <row r="40" spans="1:12" x14ac:dyDescent="0.2">
      <c r="A40" s="535">
        <v>1</v>
      </c>
      <c r="B40" s="538" t="s">
        <v>354</v>
      </c>
      <c r="C40" s="552"/>
      <c r="D40" s="547">
        <v>4</v>
      </c>
      <c r="F40" s="852" t="s">
        <v>354</v>
      </c>
      <c r="G40" s="853"/>
      <c r="H40" s="854">
        <v>13</v>
      </c>
      <c r="I40" s="854">
        <v>8</v>
      </c>
      <c r="J40" s="857" t="s">
        <v>335</v>
      </c>
      <c r="K40" s="854" t="s">
        <v>259</v>
      </c>
      <c r="L40" s="848" t="s">
        <v>515</v>
      </c>
    </row>
    <row r="41" spans="1:12" x14ac:dyDescent="0.2">
      <c r="A41" s="535">
        <v>2</v>
      </c>
      <c r="B41" s="539" t="s">
        <v>464</v>
      </c>
      <c r="C41" s="553"/>
      <c r="D41" s="547">
        <v>4</v>
      </c>
      <c r="F41" s="852" t="s">
        <v>464</v>
      </c>
      <c r="G41" s="854">
        <v>3</v>
      </c>
      <c r="H41" s="853"/>
      <c r="I41" s="854">
        <v>13</v>
      </c>
      <c r="J41" s="857" t="s">
        <v>335</v>
      </c>
      <c r="K41" s="854" t="s">
        <v>146</v>
      </c>
      <c r="L41" s="848" t="s">
        <v>263</v>
      </c>
    </row>
    <row r="42" spans="1:12" x14ac:dyDescent="0.2">
      <c r="A42" s="535">
        <v>3</v>
      </c>
      <c r="B42" s="540" t="s">
        <v>512</v>
      </c>
      <c r="C42" s="553"/>
      <c r="D42" s="548">
        <v>4</v>
      </c>
      <c r="F42" s="852" t="s">
        <v>512</v>
      </c>
      <c r="G42" s="854">
        <v>13</v>
      </c>
      <c r="H42" s="854">
        <v>5</v>
      </c>
      <c r="I42" s="853"/>
      <c r="J42" s="857" t="s">
        <v>335</v>
      </c>
      <c r="K42" s="854" t="s">
        <v>260</v>
      </c>
      <c r="L42" s="848" t="s">
        <v>514</v>
      </c>
    </row>
    <row r="43" spans="1:12" x14ac:dyDescent="0.2">
      <c r="A43" s="535">
        <v>4</v>
      </c>
      <c r="B43" s="842" t="s">
        <v>427</v>
      </c>
      <c r="C43" s="537"/>
      <c r="D43" s="547">
        <v>3</v>
      </c>
      <c r="F43" s="859"/>
      <c r="G43" s="860"/>
      <c r="H43" s="860"/>
      <c r="I43" s="860"/>
      <c r="J43" s="861"/>
      <c r="K43" s="860"/>
      <c r="L43" s="845"/>
    </row>
    <row r="44" spans="1:12" x14ac:dyDescent="0.2">
      <c r="A44" s="535">
        <v>5</v>
      </c>
      <c r="B44" s="842" t="s">
        <v>352</v>
      </c>
      <c r="C44" s="537"/>
      <c r="D44" s="547">
        <v>3</v>
      </c>
      <c r="F44" s="864" t="s">
        <v>526</v>
      </c>
      <c r="G44" s="862"/>
      <c r="H44" s="862"/>
      <c r="I44" s="862"/>
      <c r="J44" s="863"/>
      <c r="K44" s="862"/>
      <c r="L44" s="845"/>
    </row>
    <row r="45" spans="1:12" x14ac:dyDescent="0.2">
      <c r="A45" s="753">
        <v>6</v>
      </c>
      <c r="B45" s="629" t="s">
        <v>513</v>
      </c>
      <c r="C45" s="537"/>
      <c r="D45" s="547">
        <v>2</v>
      </c>
      <c r="F45" s="852" t="s">
        <v>513</v>
      </c>
      <c r="G45" s="853"/>
      <c r="H45" s="854"/>
      <c r="I45" s="858">
        <v>13</v>
      </c>
      <c r="J45" s="854" t="s">
        <v>523</v>
      </c>
      <c r="K45" s="854" t="s">
        <v>329</v>
      </c>
      <c r="L45" s="844"/>
    </row>
    <row r="46" spans="1:12" x14ac:dyDescent="0.2">
      <c r="A46" s="856">
        <v>7</v>
      </c>
      <c r="B46" s="629" t="s">
        <v>490</v>
      </c>
      <c r="C46" s="537"/>
      <c r="D46" s="547">
        <v>2</v>
      </c>
      <c r="F46" s="852" t="s">
        <v>490</v>
      </c>
      <c r="G46" s="858">
        <v>12</v>
      </c>
      <c r="H46" s="853"/>
      <c r="I46" s="854"/>
      <c r="J46" s="854"/>
      <c r="K46" s="854" t="s">
        <v>525</v>
      </c>
      <c r="L46" s="844"/>
    </row>
    <row r="47" spans="1:12" x14ac:dyDescent="0.2">
      <c r="A47" s="856">
        <v>7</v>
      </c>
      <c r="B47" s="629" t="s">
        <v>463</v>
      </c>
      <c r="D47" s="551">
        <v>2</v>
      </c>
      <c r="F47" s="852" t="s">
        <v>463</v>
      </c>
      <c r="G47" s="854"/>
      <c r="H47" s="854"/>
      <c r="I47" s="853"/>
      <c r="J47" s="854" t="s">
        <v>522</v>
      </c>
      <c r="K47" s="854" t="s">
        <v>525</v>
      </c>
      <c r="L47" s="844"/>
    </row>
    <row r="48" spans="1:12" x14ac:dyDescent="0.2">
      <c r="A48" s="535">
        <v>9</v>
      </c>
      <c r="B48" s="536" t="s">
        <v>348</v>
      </c>
      <c r="D48" s="551">
        <v>1</v>
      </c>
    </row>
    <row r="49" spans="6:12" x14ac:dyDescent="0.2">
      <c r="F49" s="845"/>
      <c r="G49" s="845"/>
      <c r="H49" s="845"/>
      <c r="I49" s="845"/>
      <c r="J49" s="845"/>
      <c r="K49" s="845"/>
      <c r="L49" s="845"/>
    </row>
    <row r="50" spans="6:12" x14ac:dyDescent="0.2">
      <c r="F50" s="845"/>
      <c r="G50" s="845"/>
      <c r="H50" s="845"/>
      <c r="I50" s="845"/>
      <c r="J50" s="845"/>
      <c r="K50" s="845"/>
      <c r="L50" s="845"/>
    </row>
    <row r="51" spans="6:12" x14ac:dyDescent="0.2">
      <c r="F51" s="845"/>
      <c r="G51" s="845"/>
      <c r="H51" s="845"/>
      <c r="I51" s="845"/>
      <c r="J51" s="845"/>
      <c r="K51" s="845"/>
      <c r="L51" s="845"/>
    </row>
    <row r="52" spans="6:12" x14ac:dyDescent="0.2">
      <c r="F52" s="845"/>
      <c r="G52" s="845"/>
      <c r="H52" s="845"/>
      <c r="I52" s="845"/>
      <c r="J52" s="845"/>
      <c r="K52" s="845"/>
      <c r="L52" s="845"/>
    </row>
  </sheetData>
  <conditionalFormatting sqref="B40:C40">
    <cfRule type="duplicateValues" dxfId="12" priority="1" stopIfTrue="1"/>
  </conditionalFormatting>
  <pageMargins left="0.59055118110236227" right="0.39370078740157483" top="0.78740157480314965" bottom="0.39370078740157483" header="0.59055118110236227" footer="0"/>
  <pageSetup paperSize="9" fitToHeight="0" orientation="portrait" verticalDpi="1200" r:id="rId1"/>
  <headerFooter>
    <oddHeader>&amp;R&amp;"Arial,Regular"&amp;9Page &amp;P of &amp;N</oddHeader>
  </headerFooter>
  <rowBreaks count="2" manualBreakCount="2">
    <brk id="81" max="16383" man="1"/>
    <brk id="116" max="16383" man="1"/>
  </rowBreaks>
  <ignoredErrors>
    <ignoredError sqref="L40:L4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1"/>
  <sheetViews>
    <sheetView showGridLines="0" showRowColHeaders="0" zoomScaleNormal="100" workbookViewId="0">
      <pane ySplit="2" topLeftCell="A27" activePane="bottomLeft" state="frozen"/>
      <selection activeCell="E12" sqref="E12"/>
      <selection pane="bottomLeft" activeCell="H1" sqref="H1"/>
    </sheetView>
  </sheetViews>
  <sheetFormatPr defaultRowHeight="12.75" x14ac:dyDescent="0.2"/>
  <cols>
    <col min="1" max="1" width="3.28515625" style="12" customWidth="1"/>
    <col min="2" max="2" width="35" style="12" customWidth="1"/>
    <col min="3" max="3" width="2" style="12" customWidth="1"/>
    <col min="4" max="4" width="5.7109375" style="12" customWidth="1"/>
    <col min="5" max="5" width="2" style="12" customWidth="1"/>
    <col min="6" max="6" width="35" style="12" customWidth="1"/>
    <col min="7" max="16384" width="9.140625" style="12"/>
  </cols>
  <sheetData>
    <row r="1" spans="1:8" x14ac:dyDescent="0.2">
      <c r="A1" s="11" t="str">
        <f>UPPER((Kalend!E39)&amp;" - "&amp;(Kalend!C39)&amp;" - "&amp;(Kalend!D39))</f>
        <v>V10 - VOKA KARIKAS 10 - DUO</v>
      </c>
      <c r="D1" s="297" t="str">
        <f>HYPERLINK("#Kalend!I1","Kalender")</f>
        <v>Kalender</v>
      </c>
      <c r="E1" s="478"/>
      <c r="F1" s="297" t="str">
        <f>HYPERLINK("#Reit!G1","Reiting")</f>
        <v>Reiting</v>
      </c>
      <c r="G1" s="478"/>
      <c r="H1" s="478"/>
    </row>
    <row r="2" spans="1:8" x14ac:dyDescent="0.2">
      <c r="A2" s="478" t="str">
        <f>"Toimumisaeg: "&amp;(Kalend!A39)&amp;" kell "&amp;(Kalend!B39)</f>
        <v>Toimumisaeg: K, 21.09.2016 kell 18:00</v>
      </c>
    </row>
    <row r="3" spans="1:8" x14ac:dyDescent="0.2">
      <c r="A3" s="478" t="str">
        <f>"Toimumiskoht: "&amp;(Kalend!F39)</f>
        <v>Toimumiskoht: Voka staadion</v>
      </c>
    </row>
    <row r="4" spans="1:8" x14ac:dyDescent="0.2">
      <c r="A4" s="478" t="str">
        <f>"Korraldaja: "&amp;(Kalend!G39)</f>
        <v>Korraldaja: Johannes Neiland</v>
      </c>
    </row>
    <row r="5" spans="1:8" x14ac:dyDescent="0.2">
      <c r="A5" s="478"/>
    </row>
    <row r="6" spans="1:8" x14ac:dyDescent="0.2">
      <c r="A6" s="534" t="s">
        <v>171</v>
      </c>
    </row>
    <row r="8" spans="1:8" x14ac:dyDescent="0.2">
      <c r="A8" s="717" t="s">
        <v>236</v>
      </c>
      <c r="B8" s="718"/>
    </row>
    <row r="9" spans="1:8" x14ac:dyDescent="0.2">
      <c r="A9" s="478"/>
      <c r="B9" s="719"/>
      <c r="C9" s="630"/>
      <c r="D9" s="714"/>
      <c r="E9" s="382"/>
      <c r="F9" s="629"/>
    </row>
    <row r="10" spans="1:8" x14ac:dyDescent="0.2">
      <c r="A10" s="478"/>
      <c r="B10" s="629"/>
      <c r="C10" s="630"/>
      <c r="D10" s="714"/>
      <c r="E10" s="382"/>
      <c r="F10" s="629"/>
    </row>
    <row r="11" spans="1:8" x14ac:dyDescent="0.2">
      <c r="A11" s="478"/>
      <c r="B11" s="719"/>
      <c r="C11" s="382"/>
      <c r="D11" s="714"/>
      <c r="E11" s="630"/>
      <c r="F11" s="719"/>
    </row>
    <row r="12" spans="1:8" x14ac:dyDescent="0.2">
      <c r="A12" s="478"/>
      <c r="B12" s="719" t="s">
        <v>464</v>
      </c>
      <c r="C12" s="630">
        <v>1</v>
      </c>
      <c r="D12" s="875" t="s">
        <v>550</v>
      </c>
      <c r="E12" s="630"/>
      <c r="F12" s="629" t="s">
        <v>147</v>
      </c>
    </row>
    <row r="13" spans="1:8" x14ac:dyDescent="0.2">
      <c r="A13" s="717" t="s">
        <v>239</v>
      </c>
      <c r="B13" s="718"/>
      <c r="C13" s="632"/>
      <c r="D13" s="46"/>
      <c r="E13" s="632"/>
      <c r="F13" s="46"/>
    </row>
    <row r="14" spans="1:8" x14ac:dyDescent="0.2">
      <c r="A14" s="478"/>
      <c r="B14" s="719"/>
      <c r="C14" s="630"/>
      <c r="D14" s="714"/>
      <c r="E14" s="630"/>
      <c r="F14" s="629"/>
    </row>
    <row r="15" spans="1:8" x14ac:dyDescent="0.2">
      <c r="A15" s="478"/>
      <c r="B15" s="719"/>
      <c r="C15" s="382"/>
      <c r="D15" s="714"/>
      <c r="E15" s="630"/>
      <c r="F15" s="629"/>
    </row>
    <row r="16" spans="1:8" x14ac:dyDescent="0.2">
      <c r="A16" s="478"/>
      <c r="B16" s="719"/>
      <c r="C16" s="382"/>
      <c r="D16" s="714"/>
      <c r="E16" s="630"/>
      <c r="F16" s="629"/>
    </row>
    <row r="17" spans="1:6" x14ac:dyDescent="0.2">
      <c r="A17" s="478"/>
      <c r="B17" s="719"/>
      <c r="C17" s="630">
        <v>1</v>
      </c>
      <c r="D17" s="875" t="s">
        <v>550</v>
      </c>
      <c r="E17" s="630"/>
      <c r="F17" s="629" t="s">
        <v>147</v>
      </c>
    </row>
    <row r="18" spans="1:6" x14ac:dyDescent="0.2">
      <c r="A18" s="717" t="s">
        <v>242</v>
      </c>
      <c r="B18" s="718"/>
      <c r="C18" s="632"/>
      <c r="D18" s="46"/>
      <c r="E18" s="632"/>
      <c r="F18" s="46"/>
    </row>
    <row r="19" spans="1:6" x14ac:dyDescent="0.2">
      <c r="A19" s="478"/>
      <c r="B19" s="719"/>
      <c r="C19" s="630"/>
      <c r="D19" s="714"/>
      <c r="E19" s="630"/>
      <c r="F19" s="629"/>
    </row>
    <row r="20" spans="1:6" x14ac:dyDescent="0.2">
      <c r="A20" s="478"/>
      <c r="B20" s="629"/>
      <c r="C20" s="382"/>
      <c r="D20" s="714"/>
      <c r="E20" s="630"/>
      <c r="F20" s="719"/>
    </row>
    <row r="21" spans="1:6" x14ac:dyDescent="0.2">
      <c r="A21" s="478"/>
      <c r="B21" s="719"/>
      <c r="C21" s="382"/>
      <c r="D21" s="714"/>
      <c r="E21" s="630"/>
      <c r="F21" s="629"/>
    </row>
    <row r="22" spans="1:6" x14ac:dyDescent="0.2">
      <c r="A22" s="478"/>
      <c r="B22" s="719"/>
      <c r="C22" s="630">
        <v>1</v>
      </c>
      <c r="D22" s="875" t="s">
        <v>550</v>
      </c>
      <c r="E22" s="630"/>
      <c r="F22" s="629" t="s">
        <v>147</v>
      </c>
    </row>
    <row r="23" spans="1:6" x14ac:dyDescent="0.2">
      <c r="A23" s="717" t="s">
        <v>319</v>
      </c>
      <c r="B23" s="718"/>
      <c r="C23" s="632"/>
      <c r="D23" s="46"/>
      <c r="E23" s="632"/>
      <c r="F23" s="46"/>
    </row>
    <row r="24" spans="1:6" x14ac:dyDescent="0.2">
      <c r="A24" s="478"/>
      <c r="B24" s="719"/>
      <c r="C24" s="630"/>
      <c r="D24" s="714"/>
      <c r="E24" s="630"/>
      <c r="F24" s="719"/>
    </row>
    <row r="25" spans="1:6" x14ac:dyDescent="0.2">
      <c r="A25" s="478"/>
      <c r="B25" s="719"/>
      <c r="C25" s="630"/>
      <c r="D25" s="714"/>
      <c r="E25" s="630"/>
      <c r="F25" s="629"/>
    </row>
    <row r="26" spans="1:6" x14ac:dyDescent="0.2">
      <c r="A26" s="478"/>
      <c r="B26" s="629"/>
      <c r="C26" s="630"/>
      <c r="D26" s="714"/>
      <c r="E26" s="630"/>
      <c r="F26" s="719"/>
    </row>
    <row r="27" spans="1:6" x14ac:dyDescent="0.2">
      <c r="A27" s="478"/>
      <c r="B27" s="629"/>
      <c r="C27" s="630">
        <v>1</v>
      </c>
      <c r="D27" s="875" t="s">
        <v>550</v>
      </c>
      <c r="E27" s="630"/>
      <c r="F27" s="629" t="s">
        <v>147</v>
      </c>
    </row>
    <row r="28" spans="1:6" x14ac:dyDescent="0.2">
      <c r="A28" s="717" t="s">
        <v>322</v>
      </c>
      <c r="B28" s="718"/>
      <c r="C28" s="632"/>
      <c r="D28" s="46"/>
      <c r="E28" s="632"/>
      <c r="F28" s="46"/>
    </row>
    <row r="29" spans="1:6" x14ac:dyDescent="0.2">
      <c r="A29" s="478"/>
      <c r="B29" s="719"/>
      <c r="C29" s="382"/>
      <c r="D29" s="714"/>
      <c r="E29" s="630"/>
      <c r="F29" s="719"/>
    </row>
    <row r="30" spans="1:6" x14ac:dyDescent="0.2">
      <c r="A30" s="478"/>
      <c r="B30" s="629"/>
      <c r="C30" s="382"/>
      <c r="D30" s="714"/>
      <c r="E30" s="630"/>
      <c r="F30" s="629"/>
    </row>
    <row r="31" spans="1:6" x14ac:dyDescent="0.2">
      <c r="A31" s="478"/>
      <c r="B31" s="629"/>
      <c r="C31" s="630"/>
      <c r="D31" s="714"/>
      <c r="E31" s="630"/>
      <c r="F31" s="719"/>
    </row>
    <row r="32" spans="1:6" x14ac:dyDescent="0.2">
      <c r="A32" s="478"/>
      <c r="B32" s="719"/>
      <c r="C32" s="630">
        <v>1</v>
      </c>
      <c r="D32" s="875" t="s">
        <v>550</v>
      </c>
      <c r="E32" s="630"/>
      <c r="F32" s="629" t="s">
        <v>147</v>
      </c>
    </row>
    <row r="34" spans="1:6" x14ac:dyDescent="0.2">
      <c r="D34" s="549" t="s">
        <v>35</v>
      </c>
    </row>
    <row r="35" spans="1:6" x14ac:dyDescent="0.2">
      <c r="A35" s="535">
        <v>1</v>
      </c>
      <c r="B35" s="538" t="s">
        <v>352</v>
      </c>
      <c r="C35" s="552"/>
      <c r="D35" s="547">
        <v>4</v>
      </c>
    </row>
    <row r="36" spans="1:6" x14ac:dyDescent="0.2">
      <c r="A36" s="535">
        <v>2</v>
      </c>
      <c r="B36" s="539" t="s">
        <v>566</v>
      </c>
      <c r="C36" s="553"/>
      <c r="D36" s="547"/>
    </row>
    <row r="37" spans="1:6" x14ac:dyDescent="0.2">
      <c r="A37" s="535">
        <v>3</v>
      </c>
      <c r="B37" s="540" t="s">
        <v>567</v>
      </c>
      <c r="C37" s="553"/>
      <c r="D37" s="548"/>
    </row>
    <row r="38" spans="1:6" x14ac:dyDescent="0.2">
      <c r="A38" s="535">
        <v>4</v>
      </c>
      <c r="B38" s="536" t="s">
        <v>464</v>
      </c>
      <c r="C38" s="537"/>
      <c r="D38" s="547">
        <v>3</v>
      </c>
    </row>
    <row r="39" spans="1:6" x14ac:dyDescent="0.2">
      <c r="A39" s="535">
        <v>5</v>
      </c>
      <c r="B39" s="755" t="s">
        <v>361</v>
      </c>
      <c r="C39" s="537"/>
      <c r="D39" s="547"/>
      <c r="F39" s="945"/>
    </row>
    <row r="40" spans="1:6" x14ac:dyDescent="0.2">
      <c r="A40" s="535">
        <v>6</v>
      </c>
      <c r="B40" s="755" t="s">
        <v>568</v>
      </c>
      <c r="C40" s="537"/>
      <c r="D40" s="547"/>
      <c r="F40" s="945"/>
    </row>
    <row r="41" spans="1:6" x14ac:dyDescent="0.2">
      <c r="A41" s="535">
        <v>7</v>
      </c>
      <c r="B41" s="755" t="s">
        <v>512</v>
      </c>
      <c r="C41" s="537"/>
      <c r="D41" s="547"/>
      <c r="F41" s="945"/>
    </row>
  </sheetData>
  <conditionalFormatting sqref="B35:C35">
    <cfRule type="duplicateValues" dxfId="11" priority="1" stopIfTrue="1"/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2" manualBreakCount="2">
    <brk id="71" max="16383" man="1"/>
    <brk id="10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45"/>
  <sheetViews>
    <sheetView showGridLines="0" showRowColHeaders="0" zoomScaleNormal="100" workbookViewId="0">
      <pane ySplit="2" topLeftCell="A3" activePane="bottomLeft" state="frozen"/>
      <selection activeCell="Z1" sqref="Z1"/>
      <selection pane="bottomLeft" activeCell="K1" sqref="K1"/>
    </sheetView>
  </sheetViews>
  <sheetFormatPr defaultRowHeight="12.75" x14ac:dyDescent="0.2"/>
  <cols>
    <col min="1" max="1" width="4.5703125" style="954" customWidth="1"/>
    <col min="2" max="2" width="18.7109375" style="954" customWidth="1"/>
    <col min="3" max="3" width="3.42578125" style="954" customWidth="1"/>
    <col min="4" max="12" width="10.28515625" style="954" customWidth="1"/>
    <col min="13" max="13" width="4" style="954" bestFit="1" customWidth="1"/>
    <col min="14" max="14" width="18.7109375" style="954" customWidth="1"/>
    <col min="15" max="16384" width="9.140625" style="954"/>
  </cols>
  <sheetData>
    <row r="1" spans="1:14" x14ac:dyDescent="0.2">
      <c r="A1" s="45" t="str">
        <f>UPPER((Kalend!E43)&amp;" - "&amp;(Kalend!C43)&amp;" - "&amp;(Kalend!D43))</f>
        <v>V-FIN - VOKA KARIKAS - FINAAL - ÜKSIK</v>
      </c>
      <c r="G1" s="297" t="str">
        <f>HYPERLINK("#Kalend!I1","Kalender")</f>
        <v>Kalender</v>
      </c>
      <c r="H1" s="478"/>
      <c r="I1" s="297" t="str">
        <f>HYPERLINK("#Reit!G1","Reiting")</f>
        <v>Reiting</v>
      </c>
      <c r="J1" s="478"/>
      <c r="K1" s="478"/>
    </row>
    <row r="2" spans="1:14" x14ac:dyDescent="0.2">
      <c r="A2" s="478" t="str">
        <f>"Toimumisaeg: "&amp;(Kalend!A43)&amp;" kell "&amp;(Kalend!B43)</f>
        <v>Toimumisaeg: P, 02.10.2016 kell 10:00</v>
      </c>
    </row>
    <row r="3" spans="1:14" x14ac:dyDescent="0.2">
      <c r="A3" s="478" t="str">
        <f>"Toimumiskoht: "&amp;(Kalend!F43)</f>
        <v>Toimumiskoht: Voka staadion</v>
      </c>
    </row>
    <row r="4" spans="1:14" x14ac:dyDescent="0.2">
      <c r="A4" s="478" t="str">
        <f>"Korraldaja: "&amp;(Kalend!G43)</f>
        <v>Korraldaja: Johannes Neiland</v>
      </c>
    </row>
    <row r="6" spans="1:14" x14ac:dyDescent="0.2">
      <c r="A6" s="47" t="s">
        <v>171</v>
      </c>
    </row>
    <row r="7" spans="1:14" x14ac:dyDescent="0.2">
      <c r="A7" s="48"/>
    </row>
    <row r="8" spans="1:14" x14ac:dyDescent="0.2">
      <c r="A8" s="49" t="s">
        <v>172</v>
      </c>
      <c r="F8" s="56"/>
    </row>
    <row r="9" spans="1:14" x14ac:dyDescent="0.2">
      <c r="E9" s="56"/>
      <c r="L9" s="1042"/>
      <c r="M9" s="1042"/>
      <c r="N9" s="1042"/>
    </row>
    <row r="10" spans="1:14" x14ac:dyDescent="0.2">
      <c r="A10" s="50"/>
      <c r="C10" s="90">
        <v>1</v>
      </c>
      <c r="D10" s="954" t="s">
        <v>47</v>
      </c>
      <c r="E10" s="56">
        <v>1</v>
      </c>
      <c r="F10" s="56"/>
      <c r="L10" s="1042"/>
      <c r="M10" s="1042"/>
      <c r="N10" s="1042"/>
    </row>
    <row r="11" spans="1:14" x14ac:dyDescent="0.2">
      <c r="A11" s="50">
        <v>16</v>
      </c>
      <c r="B11" s="954" t="s">
        <v>49</v>
      </c>
      <c r="C11" s="56">
        <v>13</v>
      </c>
      <c r="D11" s="988">
        <v>708</v>
      </c>
      <c r="E11" s="752" t="s">
        <v>49</v>
      </c>
      <c r="F11" s="56">
        <v>13</v>
      </c>
      <c r="L11" s="1042"/>
      <c r="M11" s="1042"/>
      <c r="N11" s="1042"/>
    </row>
    <row r="12" spans="1:14" x14ac:dyDescent="0.2">
      <c r="A12" s="50"/>
      <c r="B12" s="51">
        <v>700</v>
      </c>
      <c r="C12" s="52" t="s">
        <v>49</v>
      </c>
      <c r="D12" s="63"/>
      <c r="E12" s="54">
        <v>13</v>
      </c>
      <c r="G12" s="56"/>
      <c r="L12" s="1042"/>
      <c r="M12" s="1042"/>
      <c r="N12" s="1042"/>
    </row>
    <row r="13" spans="1:14" x14ac:dyDescent="0.2">
      <c r="A13" s="50">
        <v>17</v>
      </c>
      <c r="B13" s="1040" t="s">
        <v>147</v>
      </c>
      <c r="C13" s="60">
        <v>0</v>
      </c>
      <c r="D13" s="989"/>
      <c r="E13" s="71">
        <v>724</v>
      </c>
      <c r="F13" s="752" t="s">
        <v>49</v>
      </c>
      <c r="G13" s="56">
        <v>13</v>
      </c>
      <c r="L13" s="1042"/>
      <c r="M13" s="1042"/>
      <c r="N13" s="1042"/>
    </row>
    <row r="14" spans="1:14" x14ac:dyDescent="0.2">
      <c r="A14" s="50"/>
      <c r="C14" s="90">
        <v>8</v>
      </c>
      <c r="D14" s="1055" t="s">
        <v>346</v>
      </c>
      <c r="E14" s="59">
        <v>6</v>
      </c>
      <c r="F14" s="54"/>
      <c r="L14" s="1042"/>
      <c r="M14" s="1042"/>
      <c r="N14" s="1042"/>
    </row>
    <row r="15" spans="1:14" x14ac:dyDescent="0.2">
      <c r="A15" s="50">
        <v>9</v>
      </c>
      <c r="B15" s="954" t="s">
        <v>57</v>
      </c>
      <c r="C15" s="56">
        <v>13</v>
      </c>
      <c r="D15" s="55">
        <v>709</v>
      </c>
      <c r="E15" s="1052" t="s">
        <v>57</v>
      </c>
      <c r="F15" s="59">
        <v>2</v>
      </c>
      <c r="L15" s="1042"/>
      <c r="M15" s="1042"/>
      <c r="N15" s="1042"/>
    </row>
    <row r="16" spans="1:14" x14ac:dyDescent="0.2">
      <c r="A16" s="50"/>
      <c r="B16" s="51">
        <v>701</v>
      </c>
      <c r="C16" s="52" t="s">
        <v>57</v>
      </c>
      <c r="D16" s="63"/>
      <c r="E16" s="36">
        <v>13</v>
      </c>
      <c r="F16" s="61"/>
      <c r="L16" s="1042"/>
      <c r="M16" s="1042"/>
      <c r="N16" s="1042"/>
    </row>
    <row r="17" spans="1:14" x14ac:dyDescent="0.2">
      <c r="A17" s="50">
        <v>24</v>
      </c>
      <c r="B17" s="1040" t="s">
        <v>147</v>
      </c>
      <c r="C17" s="60">
        <v>0</v>
      </c>
      <c r="D17" s="989"/>
      <c r="E17" s="752"/>
      <c r="F17" s="55">
        <v>740</v>
      </c>
      <c r="G17" s="954" t="s">
        <v>49</v>
      </c>
      <c r="I17" s="56">
        <v>13</v>
      </c>
      <c r="L17" s="1042"/>
      <c r="M17" s="1042"/>
      <c r="N17" s="1042"/>
    </row>
    <row r="18" spans="1:14" x14ac:dyDescent="0.2">
      <c r="A18" s="50"/>
      <c r="C18" s="90">
        <v>5</v>
      </c>
      <c r="D18" s="954" t="s">
        <v>349</v>
      </c>
      <c r="E18" s="56">
        <v>10</v>
      </c>
      <c r="G18" s="85"/>
      <c r="H18" s="57"/>
      <c r="I18" s="56"/>
      <c r="J18" s="56"/>
      <c r="L18" s="1042"/>
      <c r="M18" s="1042"/>
      <c r="N18" s="1042"/>
    </row>
    <row r="19" spans="1:14" x14ac:dyDescent="0.2">
      <c r="A19" s="50">
        <v>12</v>
      </c>
      <c r="B19" s="1051" t="s">
        <v>344</v>
      </c>
      <c r="C19" s="1058">
        <v>13</v>
      </c>
      <c r="D19" s="988">
        <v>710</v>
      </c>
      <c r="E19" s="52" t="s">
        <v>46</v>
      </c>
      <c r="F19" s="59">
        <v>13</v>
      </c>
      <c r="H19" s="61"/>
      <c r="L19" s="1042"/>
      <c r="M19" s="1042"/>
      <c r="N19" s="1042"/>
    </row>
    <row r="20" spans="1:14" x14ac:dyDescent="0.2">
      <c r="A20" s="50"/>
      <c r="B20" s="51">
        <v>702</v>
      </c>
      <c r="C20" s="52" t="s">
        <v>46</v>
      </c>
      <c r="D20" s="63"/>
      <c r="E20" s="91">
        <v>13</v>
      </c>
      <c r="F20" s="61"/>
      <c r="G20" s="752"/>
      <c r="H20" s="61"/>
      <c r="L20" s="1042"/>
      <c r="M20" s="1042"/>
      <c r="N20" s="1042"/>
    </row>
    <row r="21" spans="1:14" x14ac:dyDescent="0.2">
      <c r="A21" s="50">
        <v>21</v>
      </c>
      <c r="B21" s="1055" t="s">
        <v>46</v>
      </c>
      <c r="C21" s="1059">
        <v>8</v>
      </c>
      <c r="D21" s="989"/>
      <c r="E21" s="990">
        <v>725</v>
      </c>
      <c r="F21" s="69" t="s">
        <v>46</v>
      </c>
      <c r="G21" s="36">
        <v>6</v>
      </c>
      <c r="H21" s="61"/>
      <c r="L21" s="1042"/>
      <c r="M21" s="1042"/>
      <c r="N21" s="1042"/>
    </row>
    <row r="22" spans="1:14" x14ac:dyDescent="0.2">
      <c r="A22" s="50"/>
      <c r="C22" s="90">
        <v>4</v>
      </c>
      <c r="D22" s="53" t="s">
        <v>48</v>
      </c>
      <c r="E22" s="59">
        <v>7</v>
      </c>
      <c r="F22" s="85"/>
      <c r="G22" s="36"/>
      <c r="H22" s="61"/>
      <c r="L22" s="1042"/>
      <c r="M22" s="1042"/>
      <c r="N22" s="1042"/>
    </row>
    <row r="23" spans="1:14" x14ac:dyDescent="0.2">
      <c r="A23" s="50">
        <v>13</v>
      </c>
      <c r="B23" s="1051" t="s">
        <v>81</v>
      </c>
      <c r="C23" s="1000">
        <v>13</v>
      </c>
      <c r="D23" s="55">
        <v>711</v>
      </c>
      <c r="E23" s="63" t="s">
        <v>81</v>
      </c>
      <c r="F23" s="56">
        <v>6</v>
      </c>
      <c r="G23" s="36"/>
      <c r="H23" s="61"/>
      <c r="L23" s="1042"/>
      <c r="M23" s="1042"/>
      <c r="N23" s="1042"/>
    </row>
    <row r="24" spans="1:14" x14ac:dyDescent="0.2">
      <c r="A24" s="50"/>
      <c r="B24" s="51">
        <v>703</v>
      </c>
      <c r="C24" s="52" t="s">
        <v>81</v>
      </c>
      <c r="D24" s="63"/>
      <c r="E24" s="60">
        <v>13</v>
      </c>
      <c r="F24" s="56"/>
      <c r="G24" s="752"/>
      <c r="H24" s="61"/>
      <c r="L24" s="1042"/>
      <c r="M24" s="1042"/>
      <c r="N24" s="1042"/>
    </row>
    <row r="25" spans="1:14" x14ac:dyDescent="0.2">
      <c r="A25" s="50">
        <v>20</v>
      </c>
      <c r="B25" s="1055" t="s">
        <v>452</v>
      </c>
      <c r="C25" s="60">
        <v>2</v>
      </c>
      <c r="D25" s="989"/>
      <c r="E25" s="36"/>
      <c r="F25" s="56"/>
      <c r="G25" s="36"/>
      <c r="H25" s="55">
        <v>754</v>
      </c>
      <c r="I25" s="954" t="s">
        <v>49</v>
      </c>
      <c r="K25" s="56">
        <v>7</v>
      </c>
      <c r="L25" s="1042"/>
      <c r="M25" s="1042"/>
      <c r="N25" s="1042"/>
    </row>
    <row r="26" spans="1:14" x14ac:dyDescent="0.2">
      <c r="A26" s="50"/>
      <c r="C26" s="90">
        <v>3</v>
      </c>
      <c r="D26" s="53" t="s">
        <v>15</v>
      </c>
      <c r="E26" s="56">
        <v>13</v>
      </c>
      <c r="G26" s="752"/>
      <c r="H26" s="61"/>
      <c r="I26" s="85"/>
      <c r="J26" s="57"/>
    </row>
    <row r="27" spans="1:14" x14ac:dyDescent="0.2">
      <c r="A27" s="50">
        <v>14</v>
      </c>
      <c r="B27" s="1051" t="s">
        <v>147</v>
      </c>
      <c r="C27" s="56"/>
      <c r="D27" s="55">
        <v>712</v>
      </c>
      <c r="E27" s="752" t="s">
        <v>15</v>
      </c>
      <c r="F27" s="56">
        <v>13</v>
      </c>
      <c r="G27" s="752"/>
      <c r="H27" s="61"/>
      <c r="I27" s="752"/>
      <c r="J27" s="61"/>
    </row>
    <row r="28" spans="1:14" x14ac:dyDescent="0.2">
      <c r="A28" s="50"/>
      <c r="B28" s="51">
        <v>704</v>
      </c>
      <c r="C28" s="1057" t="s">
        <v>147</v>
      </c>
      <c r="D28" s="63"/>
      <c r="E28" s="91">
        <v>0</v>
      </c>
      <c r="G28" s="752"/>
      <c r="I28" s="74"/>
      <c r="J28" s="61"/>
    </row>
    <row r="29" spans="1:14" x14ac:dyDescent="0.2">
      <c r="A29" s="50">
        <v>19</v>
      </c>
      <c r="B29" s="1055" t="s">
        <v>147</v>
      </c>
      <c r="C29" s="60"/>
      <c r="D29" s="989"/>
      <c r="E29" s="71">
        <v>726</v>
      </c>
      <c r="F29" s="52" t="s">
        <v>15</v>
      </c>
      <c r="G29" s="36">
        <v>11</v>
      </c>
      <c r="I29" s="74"/>
      <c r="J29" s="61"/>
      <c r="K29" s="56"/>
    </row>
    <row r="30" spans="1:14" x14ac:dyDescent="0.2">
      <c r="A30" s="50"/>
      <c r="B30" s="752"/>
      <c r="C30" s="90">
        <v>6</v>
      </c>
      <c r="D30" s="53" t="s">
        <v>350</v>
      </c>
      <c r="E30" s="59">
        <v>13</v>
      </c>
      <c r="F30" s="61"/>
      <c r="G30" s="752"/>
      <c r="H30" s="752"/>
      <c r="I30" s="74"/>
      <c r="J30" s="61"/>
    </row>
    <row r="31" spans="1:14" x14ac:dyDescent="0.2">
      <c r="A31" s="50">
        <v>11</v>
      </c>
      <c r="B31" s="954" t="s">
        <v>345</v>
      </c>
      <c r="C31" s="56">
        <v>6</v>
      </c>
      <c r="D31" s="55">
        <v>713</v>
      </c>
      <c r="E31" s="63" t="s">
        <v>350</v>
      </c>
      <c r="F31" s="87">
        <v>10</v>
      </c>
      <c r="G31" s="752"/>
      <c r="H31" s="752"/>
      <c r="I31" s="74"/>
      <c r="J31" s="61"/>
    </row>
    <row r="32" spans="1:14" x14ac:dyDescent="0.2">
      <c r="A32" s="50"/>
      <c r="B32" s="51">
        <v>705</v>
      </c>
      <c r="C32" s="52" t="s">
        <v>343</v>
      </c>
      <c r="D32" s="63"/>
      <c r="E32" s="36">
        <v>6</v>
      </c>
      <c r="F32" s="61"/>
      <c r="G32" s="752"/>
      <c r="H32" s="752"/>
      <c r="I32" s="74"/>
      <c r="J32" s="61"/>
    </row>
    <row r="33" spans="1:14" x14ac:dyDescent="0.2">
      <c r="A33" s="50">
        <v>22</v>
      </c>
      <c r="B33" s="53" t="s">
        <v>343</v>
      </c>
      <c r="C33" s="60">
        <v>13</v>
      </c>
      <c r="D33" s="989"/>
      <c r="E33" s="752"/>
      <c r="F33" s="55">
        <v>741</v>
      </c>
      <c r="G33" s="752" t="s">
        <v>54</v>
      </c>
      <c r="H33" s="63"/>
      <c r="I33" s="56">
        <v>11</v>
      </c>
      <c r="J33" s="991" t="s">
        <v>591</v>
      </c>
      <c r="M33" s="56"/>
    </row>
    <row r="34" spans="1:14" x14ac:dyDescent="0.2">
      <c r="A34" s="50"/>
      <c r="C34" s="90">
        <v>7</v>
      </c>
      <c r="D34" s="53" t="s">
        <v>351</v>
      </c>
      <c r="E34" s="56">
        <v>5</v>
      </c>
      <c r="F34" s="61"/>
      <c r="G34" s="85"/>
      <c r="H34" s="79"/>
      <c r="J34" s="61"/>
    </row>
    <row r="35" spans="1:14" x14ac:dyDescent="0.2">
      <c r="A35" s="50">
        <v>10</v>
      </c>
      <c r="B35" s="1042" t="s">
        <v>54</v>
      </c>
      <c r="C35" s="56">
        <v>13</v>
      </c>
      <c r="D35" s="55">
        <v>714</v>
      </c>
      <c r="E35" s="954" t="s">
        <v>54</v>
      </c>
      <c r="F35" s="59">
        <v>13</v>
      </c>
      <c r="G35" s="74"/>
      <c r="H35" s="752"/>
      <c r="J35" s="71" t="s">
        <v>643</v>
      </c>
      <c r="K35" s="1051"/>
      <c r="L35" s="954" t="s">
        <v>54</v>
      </c>
      <c r="M35" s="1000" t="s">
        <v>20</v>
      </c>
    </row>
    <row r="36" spans="1:14" x14ac:dyDescent="0.2">
      <c r="A36" s="50"/>
      <c r="B36" s="51">
        <v>706</v>
      </c>
      <c r="C36" s="52" t="s">
        <v>54</v>
      </c>
      <c r="D36" s="63"/>
      <c r="E36" s="91">
        <v>13</v>
      </c>
      <c r="F36" s="61"/>
      <c r="G36" s="74"/>
      <c r="H36" s="752"/>
      <c r="J36" s="1251" t="s">
        <v>642</v>
      </c>
      <c r="K36" s="79"/>
      <c r="L36" s="57"/>
    </row>
    <row r="37" spans="1:14" ht="13.5" thickBot="1" x14ac:dyDescent="0.25">
      <c r="A37" s="50">
        <v>23</v>
      </c>
      <c r="B37" s="1055" t="s">
        <v>147</v>
      </c>
      <c r="C37" s="60">
        <v>0</v>
      </c>
      <c r="D37" s="989"/>
      <c r="E37" s="71">
        <v>727</v>
      </c>
      <c r="F37" s="58" t="s">
        <v>54</v>
      </c>
      <c r="G37" s="56">
        <v>13</v>
      </c>
      <c r="H37" s="752"/>
      <c r="J37" s="1251" t="s">
        <v>641</v>
      </c>
      <c r="L37" s="71" t="s">
        <v>146</v>
      </c>
      <c r="M37" s="76"/>
      <c r="N37" s="73" t="s">
        <v>49</v>
      </c>
    </row>
    <row r="38" spans="1:14" x14ac:dyDescent="0.2">
      <c r="A38" s="50"/>
      <c r="C38" s="90">
        <v>2</v>
      </c>
      <c r="D38" s="53" t="s">
        <v>45</v>
      </c>
      <c r="E38" s="59">
        <v>13</v>
      </c>
      <c r="G38" s="56"/>
      <c r="J38" s="1251" t="s">
        <v>640</v>
      </c>
      <c r="L38" s="1253"/>
      <c r="M38" s="752"/>
      <c r="N38" s="75" t="s">
        <v>148</v>
      </c>
    </row>
    <row r="39" spans="1:14" x14ac:dyDescent="0.2">
      <c r="A39" s="50">
        <v>15</v>
      </c>
      <c r="B39" s="954" t="s">
        <v>347</v>
      </c>
      <c r="C39" s="56">
        <v>13</v>
      </c>
      <c r="D39" s="55">
        <v>715</v>
      </c>
      <c r="E39" s="63" t="s">
        <v>45</v>
      </c>
      <c r="F39" s="36">
        <v>11</v>
      </c>
      <c r="J39" s="61"/>
      <c r="K39" s="1252">
        <v>766</v>
      </c>
      <c r="L39" s="1254" t="s">
        <v>49</v>
      </c>
      <c r="M39" s="56">
        <v>13</v>
      </c>
      <c r="N39" s="752"/>
    </row>
    <row r="40" spans="1:14" ht="13.5" thickBot="1" x14ac:dyDescent="0.25">
      <c r="A40" s="50"/>
      <c r="B40" s="51">
        <v>707</v>
      </c>
      <c r="C40" s="52" t="s">
        <v>347</v>
      </c>
      <c r="D40" s="63"/>
      <c r="E40" s="36">
        <v>4</v>
      </c>
      <c r="H40" s="752"/>
      <c r="I40" s="56"/>
      <c r="J40" s="61"/>
      <c r="L40" s="99"/>
      <c r="N40" s="76" t="s">
        <v>54</v>
      </c>
    </row>
    <row r="41" spans="1:14" x14ac:dyDescent="0.2">
      <c r="A41" s="50">
        <v>18</v>
      </c>
      <c r="B41" s="1055" t="s">
        <v>147</v>
      </c>
      <c r="C41" s="60">
        <v>0</v>
      </c>
      <c r="D41" s="989"/>
      <c r="E41" s="752"/>
      <c r="G41" s="56"/>
      <c r="H41" s="752"/>
      <c r="J41" s="61"/>
      <c r="M41" s="56"/>
      <c r="N41" s="62" t="s">
        <v>149</v>
      </c>
    </row>
    <row r="42" spans="1:14" x14ac:dyDescent="0.2">
      <c r="H42" s="752"/>
      <c r="J42" s="991" t="s">
        <v>591</v>
      </c>
    </row>
    <row r="43" spans="1:14" x14ac:dyDescent="0.2">
      <c r="A43" s="49" t="s">
        <v>174</v>
      </c>
      <c r="B43" s="752"/>
      <c r="C43" s="36"/>
      <c r="D43" s="36"/>
      <c r="E43" s="752"/>
      <c r="H43" s="993">
        <v>-754</v>
      </c>
      <c r="I43" s="954" t="s">
        <v>54</v>
      </c>
      <c r="J43" s="59">
        <v>13</v>
      </c>
      <c r="K43" s="56"/>
    </row>
    <row r="44" spans="1:14" ht="13.5" thickBot="1" x14ac:dyDescent="0.25">
      <c r="B44" s="752"/>
      <c r="C44" s="36"/>
      <c r="D44" s="36"/>
      <c r="E44" s="752"/>
      <c r="F44" s="993">
        <v>-740</v>
      </c>
      <c r="G44" s="954" t="s">
        <v>46</v>
      </c>
      <c r="H44" s="36">
        <v>7</v>
      </c>
      <c r="I44" s="57"/>
      <c r="J44" s="61"/>
      <c r="M44" s="994" t="s">
        <v>260</v>
      </c>
      <c r="N44" s="954" t="s">
        <v>81</v>
      </c>
    </row>
    <row r="45" spans="1:14" x14ac:dyDescent="0.2">
      <c r="A45" s="50"/>
      <c r="B45" s="752"/>
      <c r="D45" s="992">
        <v>-726</v>
      </c>
      <c r="E45" s="752" t="s">
        <v>350</v>
      </c>
      <c r="F45" s="36">
        <v>4</v>
      </c>
      <c r="G45" s="57"/>
      <c r="H45" s="752"/>
      <c r="I45" s="61"/>
      <c r="J45" s="61"/>
      <c r="N45" s="75" t="s">
        <v>150</v>
      </c>
    </row>
    <row r="46" spans="1:14" x14ac:dyDescent="0.2">
      <c r="A46" s="992">
        <v>-708</v>
      </c>
      <c r="B46" s="954" t="s">
        <v>47</v>
      </c>
      <c r="C46" s="56">
        <v>13</v>
      </c>
      <c r="D46" s="56"/>
      <c r="E46" s="57"/>
      <c r="G46" s="61"/>
      <c r="I46" s="59"/>
      <c r="J46" s="61"/>
    </row>
    <row r="47" spans="1:14" ht="13.5" thickBot="1" x14ac:dyDescent="0.25">
      <c r="A47" s="50"/>
      <c r="B47" s="82">
        <v>716</v>
      </c>
      <c r="C47" s="52" t="s">
        <v>47</v>
      </c>
      <c r="D47" s="53"/>
      <c r="E47" s="59">
        <v>13</v>
      </c>
      <c r="F47" s="954" t="s">
        <v>47</v>
      </c>
      <c r="G47" s="59">
        <v>13</v>
      </c>
      <c r="H47" s="1051" t="s">
        <v>47</v>
      </c>
      <c r="I47" s="59">
        <v>12</v>
      </c>
      <c r="J47" s="61"/>
      <c r="M47" s="994" t="s">
        <v>261</v>
      </c>
      <c r="N47" s="752" t="s">
        <v>47</v>
      </c>
    </row>
    <row r="48" spans="1:14" x14ac:dyDescent="0.2">
      <c r="A48" s="995">
        <v>-707</v>
      </c>
      <c r="B48" s="1040" t="s">
        <v>147</v>
      </c>
      <c r="C48" s="60">
        <v>0</v>
      </c>
      <c r="D48" s="91"/>
      <c r="E48" s="88">
        <v>736</v>
      </c>
      <c r="F48" s="68"/>
      <c r="G48" s="88" t="s">
        <v>138</v>
      </c>
      <c r="H48" s="57"/>
      <c r="I48" s="56"/>
      <c r="J48" s="69"/>
      <c r="N48" s="75" t="s">
        <v>151</v>
      </c>
    </row>
    <row r="49" spans="1:14" x14ac:dyDescent="0.2">
      <c r="A49" s="50"/>
      <c r="D49" s="81">
        <v>728</v>
      </c>
      <c r="E49" s="63" t="s">
        <v>47</v>
      </c>
      <c r="F49" s="59">
        <v>13</v>
      </c>
      <c r="H49" s="69"/>
      <c r="I49" s="88" t="s">
        <v>260</v>
      </c>
      <c r="J49" s="63" t="s">
        <v>54</v>
      </c>
      <c r="K49" s="56">
        <v>13</v>
      </c>
    </row>
    <row r="50" spans="1:14" x14ac:dyDescent="0.2">
      <c r="A50" s="995">
        <v>-709</v>
      </c>
      <c r="B50" s="954" t="s">
        <v>346</v>
      </c>
      <c r="C50" s="56">
        <v>13</v>
      </c>
      <c r="D50" s="106"/>
      <c r="E50" s="79"/>
      <c r="F50" s="61"/>
      <c r="G50" s="61"/>
      <c r="H50" s="61"/>
      <c r="I50" s="94"/>
      <c r="J50" s="752"/>
      <c r="K50" s="996" t="s">
        <v>138</v>
      </c>
      <c r="L50" s="954" t="s">
        <v>46</v>
      </c>
      <c r="M50" s="36">
        <v>13</v>
      </c>
      <c r="N50" s="752"/>
    </row>
    <row r="51" spans="1:14" ht="13.5" thickBot="1" x14ac:dyDescent="0.25">
      <c r="A51" s="50"/>
      <c r="B51" s="82">
        <v>717</v>
      </c>
      <c r="C51" s="52" t="s">
        <v>346</v>
      </c>
      <c r="D51" s="63"/>
      <c r="E51" s="36">
        <v>3</v>
      </c>
      <c r="F51" s="81">
        <v>742</v>
      </c>
      <c r="G51" s="63" t="s">
        <v>47</v>
      </c>
      <c r="H51" s="59">
        <v>13</v>
      </c>
      <c r="I51" s="61"/>
      <c r="L51" s="57"/>
      <c r="M51" s="76"/>
      <c r="N51" s="76" t="s">
        <v>46</v>
      </c>
    </row>
    <row r="52" spans="1:14" x14ac:dyDescent="0.2">
      <c r="A52" s="995">
        <v>-706</v>
      </c>
      <c r="B52" s="1055" t="s">
        <v>147</v>
      </c>
      <c r="C52" s="60">
        <v>0</v>
      </c>
      <c r="D52" s="989"/>
      <c r="E52" s="752"/>
      <c r="F52" s="61"/>
      <c r="H52" s="61"/>
      <c r="I52" s="61"/>
      <c r="K52" s="996" t="s">
        <v>170</v>
      </c>
      <c r="L52" s="63" t="s">
        <v>15</v>
      </c>
      <c r="M52" s="56">
        <v>4</v>
      </c>
      <c r="N52" s="90" t="s">
        <v>152</v>
      </c>
    </row>
    <row r="53" spans="1:14" x14ac:dyDescent="0.2">
      <c r="A53" s="62"/>
      <c r="D53" s="997">
        <v>-727</v>
      </c>
      <c r="E53" s="954" t="s">
        <v>45</v>
      </c>
      <c r="F53" s="59">
        <v>9</v>
      </c>
      <c r="G53" s="56"/>
      <c r="H53" s="61"/>
      <c r="I53" s="61"/>
      <c r="N53" s="752"/>
    </row>
    <row r="54" spans="1:14" ht="13.5" thickBot="1" x14ac:dyDescent="0.25">
      <c r="A54" s="992">
        <v>-705</v>
      </c>
      <c r="B54" s="1042" t="s">
        <v>345</v>
      </c>
      <c r="C54" s="56">
        <v>7</v>
      </c>
      <c r="D54" s="56"/>
      <c r="E54" s="57"/>
      <c r="F54" s="61"/>
      <c r="H54" s="61"/>
      <c r="I54" s="61"/>
      <c r="L54" s="752"/>
      <c r="N54" s="76" t="s">
        <v>15</v>
      </c>
    </row>
    <row r="55" spans="1:14" x14ac:dyDescent="0.2">
      <c r="A55" s="50"/>
      <c r="B55" s="82">
        <v>718</v>
      </c>
      <c r="C55" s="52" t="s">
        <v>349</v>
      </c>
      <c r="D55" s="53"/>
      <c r="E55" s="59">
        <v>8</v>
      </c>
      <c r="F55" s="63" t="s">
        <v>48</v>
      </c>
      <c r="G55" s="56">
        <v>8</v>
      </c>
      <c r="H55" s="88" t="s">
        <v>261</v>
      </c>
      <c r="I55" s="63" t="s">
        <v>81</v>
      </c>
      <c r="J55" s="56">
        <v>8</v>
      </c>
      <c r="M55" s="752"/>
      <c r="N55" s="90" t="s">
        <v>153</v>
      </c>
    </row>
    <row r="56" spans="1:14" x14ac:dyDescent="0.2">
      <c r="A56" s="995">
        <v>-710</v>
      </c>
      <c r="B56" s="53" t="s">
        <v>349</v>
      </c>
      <c r="C56" s="60">
        <v>13</v>
      </c>
      <c r="D56" s="91"/>
      <c r="E56" s="88">
        <v>737</v>
      </c>
      <c r="F56" s="79"/>
      <c r="G56" s="752"/>
      <c r="H56" s="61"/>
    </row>
    <row r="57" spans="1:14" x14ac:dyDescent="0.2">
      <c r="A57" s="50"/>
      <c r="D57" s="81">
        <v>729</v>
      </c>
      <c r="E57" s="63" t="s">
        <v>48</v>
      </c>
      <c r="F57" s="36">
        <v>13</v>
      </c>
      <c r="G57" s="752"/>
      <c r="H57" s="61"/>
      <c r="K57" s="994">
        <v>742</v>
      </c>
      <c r="L57" s="954" t="s">
        <v>48</v>
      </c>
      <c r="M57" s="36">
        <v>13</v>
      </c>
      <c r="N57" s="752"/>
    </row>
    <row r="58" spans="1:14" ht="13.5" thickBot="1" x14ac:dyDescent="0.25">
      <c r="A58" s="995">
        <v>-704</v>
      </c>
      <c r="B58" s="1051" t="s">
        <v>147</v>
      </c>
      <c r="C58" s="56">
        <v>0</v>
      </c>
      <c r="D58" s="59"/>
      <c r="E58" s="752"/>
      <c r="H58" s="59"/>
      <c r="L58" s="57"/>
      <c r="M58" s="76"/>
      <c r="N58" s="76" t="s">
        <v>48</v>
      </c>
    </row>
    <row r="59" spans="1:14" x14ac:dyDescent="0.2">
      <c r="A59" s="50"/>
      <c r="B59" s="82">
        <v>719</v>
      </c>
      <c r="C59" s="52" t="s">
        <v>48</v>
      </c>
      <c r="D59" s="63"/>
      <c r="E59" s="36">
        <v>13</v>
      </c>
      <c r="H59" s="61"/>
      <c r="K59" s="994">
        <v>743</v>
      </c>
      <c r="L59" s="63" t="s">
        <v>57</v>
      </c>
      <c r="M59" s="56">
        <v>7</v>
      </c>
      <c r="N59" s="90" t="s">
        <v>154</v>
      </c>
    </row>
    <row r="60" spans="1:14" x14ac:dyDescent="0.2">
      <c r="A60" s="995">
        <v>-711</v>
      </c>
      <c r="B60" s="53" t="s">
        <v>48</v>
      </c>
      <c r="C60" s="60">
        <v>13</v>
      </c>
      <c r="D60" s="989"/>
      <c r="E60" s="752"/>
      <c r="F60" s="993">
        <v>-741</v>
      </c>
      <c r="G60" s="954" t="s">
        <v>15</v>
      </c>
      <c r="H60" s="59">
        <v>12</v>
      </c>
      <c r="N60" s="752"/>
    </row>
    <row r="61" spans="1:14" ht="13.5" thickBot="1" x14ac:dyDescent="0.25">
      <c r="D61" s="997">
        <v>-724</v>
      </c>
      <c r="E61" s="1053" t="s">
        <v>57</v>
      </c>
      <c r="F61" s="1054">
        <v>13</v>
      </c>
      <c r="G61" s="57"/>
      <c r="H61" s="69"/>
      <c r="J61" s="56"/>
      <c r="N61" s="76" t="s">
        <v>57</v>
      </c>
    </row>
    <row r="62" spans="1:14" x14ac:dyDescent="0.2">
      <c r="A62" s="992">
        <v>-712</v>
      </c>
      <c r="B62" s="1051" t="s">
        <v>147</v>
      </c>
      <c r="C62" s="56">
        <v>0</v>
      </c>
      <c r="D62" s="56"/>
      <c r="E62" s="57"/>
      <c r="H62" s="69"/>
      <c r="I62" s="56"/>
      <c r="M62" s="752"/>
      <c r="N62" s="90" t="s">
        <v>155</v>
      </c>
    </row>
    <row r="63" spans="1:14" x14ac:dyDescent="0.2">
      <c r="A63" s="50"/>
      <c r="B63" s="82">
        <v>720</v>
      </c>
      <c r="C63" s="52" t="s">
        <v>452</v>
      </c>
      <c r="D63" s="53"/>
      <c r="E63" s="59">
        <v>3</v>
      </c>
      <c r="F63" s="954" t="s">
        <v>57</v>
      </c>
      <c r="G63" s="56">
        <v>8</v>
      </c>
      <c r="H63" s="69" t="s">
        <v>81</v>
      </c>
      <c r="I63" s="56">
        <v>13</v>
      </c>
    </row>
    <row r="64" spans="1:14" x14ac:dyDescent="0.2">
      <c r="A64" s="995">
        <v>-703</v>
      </c>
      <c r="B64" s="1040" t="s">
        <v>452</v>
      </c>
      <c r="C64" s="60">
        <v>13</v>
      </c>
      <c r="D64" s="91"/>
      <c r="E64" s="88">
        <v>738</v>
      </c>
      <c r="F64" s="68"/>
      <c r="G64" s="88" t="s">
        <v>170</v>
      </c>
      <c r="H64" s="85"/>
      <c r="I64" s="56"/>
    </row>
    <row r="65" spans="1:13" x14ac:dyDescent="0.2">
      <c r="A65" s="50"/>
      <c r="D65" s="81">
        <v>730</v>
      </c>
      <c r="E65" s="63" t="s">
        <v>343</v>
      </c>
      <c r="F65" s="59">
        <v>11</v>
      </c>
      <c r="G65" s="59"/>
      <c r="H65" s="74"/>
    </row>
    <row r="66" spans="1:13" x14ac:dyDescent="0.2">
      <c r="A66" s="995">
        <v>-702</v>
      </c>
      <c r="B66" s="954" t="s">
        <v>344</v>
      </c>
      <c r="C66" s="56">
        <v>2</v>
      </c>
      <c r="D66" s="59"/>
      <c r="E66" s="79"/>
      <c r="F66" s="61"/>
      <c r="G66" s="61"/>
    </row>
    <row r="67" spans="1:13" x14ac:dyDescent="0.2">
      <c r="A67" s="50"/>
      <c r="B67" s="82">
        <v>721</v>
      </c>
      <c r="C67" s="52" t="s">
        <v>343</v>
      </c>
      <c r="D67" s="63"/>
      <c r="E67" s="36">
        <v>13</v>
      </c>
      <c r="F67" s="81">
        <v>743</v>
      </c>
      <c r="G67" s="63" t="s">
        <v>81</v>
      </c>
      <c r="H67" s="56">
        <v>13</v>
      </c>
    </row>
    <row r="68" spans="1:13" x14ac:dyDescent="0.2">
      <c r="A68" s="995">
        <v>-713</v>
      </c>
      <c r="B68" s="1040" t="s">
        <v>343</v>
      </c>
      <c r="C68" s="60">
        <v>13</v>
      </c>
      <c r="D68" s="989"/>
      <c r="E68" s="752"/>
      <c r="F68" s="61"/>
    </row>
    <row r="69" spans="1:13" x14ac:dyDescent="0.2">
      <c r="D69" s="997">
        <v>-725</v>
      </c>
      <c r="E69" s="954" t="s">
        <v>81</v>
      </c>
      <c r="F69" s="59">
        <v>13</v>
      </c>
      <c r="G69" s="56"/>
    </row>
    <row r="70" spans="1:13" x14ac:dyDescent="0.2">
      <c r="A70" s="992">
        <v>-701</v>
      </c>
      <c r="B70" s="1051" t="s">
        <v>147</v>
      </c>
      <c r="C70" s="56">
        <v>0</v>
      </c>
      <c r="D70" s="56"/>
      <c r="E70" s="57"/>
      <c r="F70" s="61"/>
    </row>
    <row r="71" spans="1:13" x14ac:dyDescent="0.2">
      <c r="A71" s="50"/>
      <c r="B71" s="82">
        <v>722</v>
      </c>
      <c r="C71" s="1057" t="s">
        <v>351</v>
      </c>
      <c r="D71" s="53"/>
      <c r="E71" s="59">
        <v>6</v>
      </c>
      <c r="F71" s="63" t="s">
        <v>81</v>
      </c>
      <c r="G71" s="56">
        <v>13</v>
      </c>
    </row>
    <row r="72" spans="1:13" x14ac:dyDescent="0.2">
      <c r="A72" s="995">
        <v>-714</v>
      </c>
      <c r="B72" s="53" t="s">
        <v>351</v>
      </c>
      <c r="C72" s="60">
        <v>13</v>
      </c>
      <c r="D72" s="91"/>
      <c r="E72" s="88">
        <v>739</v>
      </c>
      <c r="F72" s="79"/>
      <c r="G72" s="752"/>
    </row>
    <row r="73" spans="1:13" x14ac:dyDescent="0.2">
      <c r="A73" s="50"/>
      <c r="D73" s="81">
        <v>731</v>
      </c>
      <c r="E73" s="63" t="s">
        <v>347</v>
      </c>
      <c r="F73" s="36">
        <v>3</v>
      </c>
      <c r="G73" s="752"/>
    </row>
    <row r="74" spans="1:13" x14ac:dyDescent="0.2">
      <c r="A74" s="995">
        <v>-715</v>
      </c>
      <c r="B74" s="954" t="s">
        <v>347</v>
      </c>
      <c r="C74" s="56">
        <v>13</v>
      </c>
      <c r="D74" s="59"/>
      <c r="E74" s="752"/>
      <c r="F74" s="752"/>
      <c r="G74" s="752"/>
      <c r="H74" s="752"/>
    </row>
    <row r="75" spans="1:13" x14ac:dyDescent="0.2">
      <c r="A75" s="50"/>
      <c r="B75" s="82">
        <v>723</v>
      </c>
      <c r="C75" s="52" t="s">
        <v>347</v>
      </c>
      <c r="D75" s="63"/>
      <c r="E75" s="36">
        <v>13</v>
      </c>
      <c r="F75" s="752"/>
      <c r="G75" s="752"/>
      <c r="H75" s="752"/>
    </row>
    <row r="76" spans="1:13" x14ac:dyDescent="0.2">
      <c r="A76" s="995">
        <v>-700</v>
      </c>
      <c r="B76" s="1055" t="s">
        <v>147</v>
      </c>
      <c r="C76" s="60">
        <v>0</v>
      </c>
      <c r="D76" s="989"/>
      <c r="E76" s="752"/>
      <c r="F76" s="752"/>
      <c r="G76" s="752"/>
      <c r="H76" s="752"/>
    </row>
    <row r="77" spans="1:13" x14ac:dyDescent="0.2">
      <c r="A77" s="50"/>
      <c r="B77" s="752"/>
      <c r="C77" s="752"/>
      <c r="D77" s="36"/>
      <c r="E77" s="752"/>
      <c r="F77" s="752"/>
      <c r="G77" s="752"/>
      <c r="H77" s="752"/>
    </row>
    <row r="78" spans="1:13" x14ac:dyDescent="0.2">
      <c r="A78" s="998" t="s">
        <v>182</v>
      </c>
      <c r="B78" s="752"/>
      <c r="D78" s="36"/>
      <c r="E78" s="752"/>
      <c r="F78" s="752"/>
      <c r="G78" s="752"/>
      <c r="H78" s="752"/>
    </row>
    <row r="79" spans="1:13" x14ac:dyDescent="0.2">
      <c r="A79" s="50"/>
      <c r="B79" s="752"/>
      <c r="C79" s="752"/>
      <c r="D79" s="36"/>
      <c r="E79" s="752"/>
      <c r="F79" s="752"/>
      <c r="G79" s="752"/>
      <c r="H79" s="752"/>
      <c r="J79" s="999">
        <v>736</v>
      </c>
      <c r="K79" s="954" t="s">
        <v>350</v>
      </c>
      <c r="L79" s="1058">
        <v>7</v>
      </c>
    </row>
    <row r="80" spans="1:13" x14ac:dyDescent="0.2">
      <c r="A80" s="50"/>
      <c r="B80" s="752"/>
      <c r="C80" s="752"/>
      <c r="D80" s="36"/>
      <c r="E80" s="752"/>
      <c r="F80" s="752"/>
      <c r="G80" s="752"/>
      <c r="H80" s="752"/>
      <c r="J80" s="50"/>
      <c r="K80" s="95" t="s">
        <v>184</v>
      </c>
      <c r="L80" s="53" t="s">
        <v>45</v>
      </c>
      <c r="M80" s="36">
        <v>13</v>
      </c>
    </row>
    <row r="81" spans="1:14" x14ac:dyDescent="0.2">
      <c r="A81" s="50"/>
      <c r="B81" s="752"/>
      <c r="C81" s="752"/>
      <c r="D81" s="36"/>
      <c r="E81" s="752"/>
      <c r="F81" s="752"/>
      <c r="G81" s="752"/>
      <c r="H81" s="752"/>
      <c r="J81" s="996">
        <v>737</v>
      </c>
      <c r="K81" s="63" t="s">
        <v>45</v>
      </c>
      <c r="L81" s="91">
        <v>13</v>
      </c>
    </row>
    <row r="82" spans="1:14" ht="13.5" thickBot="1" x14ac:dyDescent="0.25">
      <c r="A82" s="50"/>
      <c r="B82" s="752"/>
      <c r="C82" s="752"/>
      <c r="D82" s="36"/>
      <c r="E82" s="752"/>
      <c r="F82" s="752"/>
      <c r="G82" s="752"/>
      <c r="H82" s="752"/>
      <c r="J82" s="50"/>
      <c r="L82" s="61"/>
      <c r="N82" s="954" t="s">
        <v>45</v>
      </c>
    </row>
    <row r="83" spans="1:14" x14ac:dyDescent="0.2">
      <c r="A83" s="50"/>
      <c r="B83" s="752"/>
      <c r="C83" s="752"/>
      <c r="D83" s="36"/>
      <c r="E83" s="752"/>
      <c r="F83" s="752"/>
      <c r="G83" s="752"/>
      <c r="H83" s="752"/>
      <c r="J83" s="996">
        <v>738</v>
      </c>
      <c r="K83" s="954" t="s">
        <v>343</v>
      </c>
      <c r="L83" s="59">
        <v>12</v>
      </c>
      <c r="M83" s="96"/>
      <c r="N83" s="75" t="s">
        <v>156</v>
      </c>
    </row>
    <row r="84" spans="1:14" x14ac:dyDescent="0.2">
      <c r="A84" s="50"/>
      <c r="B84" s="752"/>
      <c r="C84" s="752"/>
      <c r="D84" s="36"/>
      <c r="E84" s="752"/>
      <c r="F84" s="752"/>
      <c r="G84" s="752"/>
      <c r="H84" s="752"/>
      <c r="J84" s="50"/>
      <c r="K84" s="95" t="s">
        <v>185</v>
      </c>
      <c r="L84" s="63" t="s">
        <v>347</v>
      </c>
      <c r="M84" s="36">
        <v>8</v>
      </c>
    </row>
    <row r="85" spans="1:14" ht="13.5" thickBot="1" x14ac:dyDescent="0.25">
      <c r="A85" s="50"/>
      <c r="B85" s="752"/>
      <c r="C85" s="752"/>
      <c r="D85" s="36"/>
      <c r="E85" s="752"/>
      <c r="F85" s="752"/>
      <c r="G85" s="752"/>
      <c r="H85" s="752"/>
      <c r="J85" s="996">
        <v>739</v>
      </c>
      <c r="K85" s="63" t="s">
        <v>347</v>
      </c>
      <c r="L85" s="56">
        <v>13</v>
      </c>
      <c r="M85" s="752"/>
      <c r="N85" s="752" t="s">
        <v>347</v>
      </c>
    </row>
    <row r="86" spans="1:14" x14ac:dyDescent="0.2">
      <c r="A86" s="50"/>
      <c r="B86" s="752"/>
      <c r="C86" s="752"/>
      <c r="D86" s="36"/>
      <c r="E86" s="752"/>
      <c r="F86" s="752"/>
      <c r="G86" s="752"/>
      <c r="H86" s="752"/>
      <c r="M86" s="752"/>
      <c r="N86" s="75" t="s">
        <v>157</v>
      </c>
    </row>
    <row r="87" spans="1:14" x14ac:dyDescent="0.2">
      <c r="A87" s="50"/>
      <c r="B87" s="752"/>
      <c r="C87" s="752"/>
      <c r="D87" s="36"/>
      <c r="E87" s="752"/>
      <c r="F87" s="752"/>
      <c r="G87" s="752"/>
      <c r="H87" s="752"/>
      <c r="K87" s="50" t="s">
        <v>184</v>
      </c>
      <c r="L87" s="954" t="s">
        <v>350</v>
      </c>
      <c r="M87" s="36">
        <v>13</v>
      </c>
      <c r="N87" s="752"/>
    </row>
    <row r="88" spans="1:14" ht="13.5" thickBot="1" x14ac:dyDescent="0.25">
      <c r="A88" s="50"/>
      <c r="B88" s="752"/>
      <c r="C88" s="752"/>
      <c r="D88" s="36"/>
      <c r="E88" s="752"/>
      <c r="F88" s="752"/>
      <c r="G88" s="752"/>
      <c r="H88" s="752"/>
      <c r="J88" s="62"/>
      <c r="L88" s="57"/>
      <c r="M88" s="76"/>
      <c r="N88" s="76" t="s">
        <v>350</v>
      </c>
    </row>
    <row r="89" spans="1:14" x14ac:dyDescent="0.2">
      <c r="A89" s="50"/>
      <c r="B89" s="752"/>
      <c r="C89" s="752"/>
      <c r="D89" s="36"/>
      <c r="E89" s="752"/>
      <c r="F89" s="752"/>
      <c r="G89" s="752"/>
      <c r="H89" s="752"/>
      <c r="J89" s="62"/>
      <c r="K89" s="50" t="s">
        <v>185</v>
      </c>
      <c r="L89" s="63" t="s">
        <v>343</v>
      </c>
      <c r="M89" s="1060" t="s">
        <v>20</v>
      </c>
      <c r="N89" s="90" t="s">
        <v>158</v>
      </c>
    </row>
    <row r="90" spans="1:14" x14ac:dyDescent="0.2">
      <c r="A90" s="50"/>
      <c r="B90" s="752"/>
      <c r="C90" s="752"/>
      <c r="D90" s="36"/>
      <c r="E90" s="752"/>
      <c r="F90" s="752"/>
      <c r="G90" s="752"/>
      <c r="H90" s="752"/>
      <c r="J90" s="62"/>
      <c r="N90" s="752"/>
    </row>
    <row r="91" spans="1:14" ht="13.5" thickBot="1" x14ac:dyDescent="0.25">
      <c r="A91" s="50"/>
      <c r="B91" s="752"/>
      <c r="C91" s="752"/>
      <c r="D91" s="36"/>
      <c r="E91" s="752"/>
      <c r="F91" s="752"/>
      <c r="G91" s="752"/>
      <c r="H91" s="752"/>
      <c r="J91" s="62"/>
      <c r="L91" s="752"/>
      <c r="N91" s="76" t="s">
        <v>343</v>
      </c>
    </row>
    <row r="92" spans="1:14" x14ac:dyDescent="0.2">
      <c r="A92" s="50"/>
      <c r="B92" s="752"/>
      <c r="C92" s="752"/>
      <c r="D92" s="36"/>
      <c r="E92" s="752"/>
      <c r="F92" s="752"/>
      <c r="G92" s="752"/>
      <c r="H92" s="752"/>
      <c r="J92" s="62"/>
      <c r="M92" s="752"/>
      <c r="N92" s="90" t="s">
        <v>159</v>
      </c>
    </row>
    <row r="93" spans="1:14" x14ac:dyDescent="0.2">
      <c r="A93" s="50"/>
      <c r="B93" s="752"/>
      <c r="C93" s="752"/>
      <c r="D93" s="36"/>
      <c r="E93" s="752"/>
      <c r="F93" s="752"/>
      <c r="G93" s="752"/>
      <c r="H93" s="752"/>
      <c r="J93" s="62"/>
      <c r="M93" s="752"/>
      <c r="N93" s="90"/>
    </row>
    <row r="94" spans="1:14" x14ac:dyDescent="0.2">
      <c r="A94" s="80" t="s">
        <v>183</v>
      </c>
      <c r="B94" s="752"/>
      <c r="E94" s="752"/>
      <c r="H94" s="752"/>
      <c r="I94" s="752"/>
      <c r="J94" s="752"/>
    </row>
    <row r="95" spans="1:14" x14ac:dyDescent="0.2">
      <c r="J95" s="999">
        <v>728</v>
      </c>
      <c r="K95" s="954" t="s">
        <v>346</v>
      </c>
      <c r="L95" s="1058">
        <v>7</v>
      </c>
    </row>
    <row r="96" spans="1:14" x14ac:dyDescent="0.2">
      <c r="J96" s="50"/>
      <c r="K96" s="95" t="s">
        <v>593</v>
      </c>
      <c r="L96" s="53" t="s">
        <v>349</v>
      </c>
      <c r="M96" s="36">
        <v>13</v>
      </c>
    </row>
    <row r="97" spans="1:14" x14ac:dyDescent="0.2">
      <c r="J97" s="996">
        <v>729</v>
      </c>
      <c r="K97" s="63" t="s">
        <v>349</v>
      </c>
      <c r="L97" s="91">
        <v>13</v>
      </c>
    </row>
    <row r="98" spans="1:14" ht="13.5" thickBot="1" x14ac:dyDescent="0.25">
      <c r="J98" s="50"/>
      <c r="L98" s="61"/>
      <c r="N98" s="954" t="s">
        <v>349</v>
      </c>
    </row>
    <row r="99" spans="1:14" x14ac:dyDescent="0.2">
      <c r="J99" s="996">
        <v>730</v>
      </c>
      <c r="K99" s="954" t="s">
        <v>452</v>
      </c>
      <c r="L99" s="59">
        <v>11</v>
      </c>
      <c r="M99" s="96"/>
      <c r="N99" s="75" t="s">
        <v>160</v>
      </c>
    </row>
    <row r="100" spans="1:14" x14ac:dyDescent="0.2">
      <c r="J100" s="50"/>
      <c r="K100" s="95" t="s">
        <v>594</v>
      </c>
      <c r="L100" s="63" t="s">
        <v>351</v>
      </c>
      <c r="M100" s="36">
        <v>1</v>
      </c>
    </row>
    <row r="101" spans="1:14" ht="13.5" thickBot="1" x14ac:dyDescent="0.25">
      <c r="J101" s="996">
        <v>731</v>
      </c>
      <c r="K101" s="63" t="s">
        <v>351</v>
      </c>
      <c r="L101" s="56">
        <v>13</v>
      </c>
      <c r="M101" s="752"/>
      <c r="N101" s="752" t="s">
        <v>351</v>
      </c>
    </row>
    <row r="102" spans="1:14" x14ac:dyDescent="0.2">
      <c r="J102" s="62"/>
      <c r="M102" s="752"/>
      <c r="N102" s="75" t="s">
        <v>161</v>
      </c>
    </row>
    <row r="103" spans="1:14" x14ac:dyDescent="0.2">
      <c r="J103" s="62"/>
      <c r="K103" s="50" t="s">
        <v>593</v>
      </c>
      <c r="L103" s="954" t="s">
        <v>346</v>
      </c>
      <c r="M103" s="36">
        <v>13</v>
      </c>
      <c r="N103" s="752"/>
    </row>
    <row r="104" spans="1:14" ht="13.5" thickBot="1" x14ac:dyDescent="0.25">
      <c r="J104" s="62"/>
      <c r="L104" s="57"/>
      <c r="M104" s="76"/>
      <c r="N104" s="76" t="s">
        <v>346</v>
      </c>
    </row>
    <row r="105" spans="1:14" x14ac:dyDescent="0.2">
      <c r="J105" s="62"/>
      <c r="K105" s="50" t="s">
        <v>594</v>
      </c>
      <c r="L105" s="63" t="s">
        <v>452</v>
      </c>
      <c r="M105" s="56">
        <v>9</v>
      </c>
      <c r="N105" s="90" t="s">
        <v>162</v>
      </c>
    </row>
    <row r="106" spans="1:14" x14ac:dyDescent="0.2">
      <c r="J106" s="62"/>
      <c r="N106" s="752"/>
    </row>
    <row r="107" spans="1:14" ht="13.5" thickBot="1" x14ac:dyDescent="0.25">
      <c r="J107" s="62"/>
      <c r="L107" s="752"/>
      <c r="N107" s="76" t="s">
        <v>452</v>
      </c>
    </row>
    <row r="108" spans="1:14" x14ac:dyDescent="0.2">
      <c r="J108" s="62"/>
      <c r="M108" s="752"/>
      <c r="N108" s="90" t="s">
        <v>163</v>
      </c>
    </row>
    <row r="109" spans="1:14" x14ac:dyDescent="0.2">
      <c r="J109" s="62"/>
      <c r="M109" s="752"/>
      <c r="N109" s="90"/>
    </row>
    <row r="110" spans="1:14" x14ac:dyDescent="0.2">
      <c r="A110" s="49" t="s">
        <v>592</v>
      </c>
      <c r="B110" s="752"/>
      <c r="C110" s="36"/>
      <c r="D110" s="36"/>
      <c r="E110" s="36"/>
      <c r="H110" s="56"/>
      <c r="I110" s="999">
        <v>716</v>
      </c>
      <c r="J110" s="1042" t="s">
        <v>147</v>
      </c>
      <c r="K110" s="56" t="s">
        <v>20</v>
      </c>
      <c r="N110" s="752"/>
    </row>
    <row r="111" spans="1:14" x14ac:dyDescent="0.2">
      <c r="A111" s="49"/>
      <c r="I111" s="50"/>
      <c r="J111" s="1050" t="s">
        <v>595</v>
      </c>
      <c r="K111" s="1057" t="s">
        <v>147</v>
      </c>
      <c r="L111" s="56" t="s">
        <v>20</v>
      </c>
      <c r="N111" s="752"/>
    </row>
    <row r="112" spans="1:14" x14ac:dyDescent="0.2">
      <c r="I112" s="996">
        <v>717</v>
      </c>
      <c r="J112" s="1040" t="s">
        <v>147</v>
      </c>
      <c r="K112" s="54" t="s">
        <v>20</v>
      </c>
      <c r="N112" s="752"/>
    </row>
    <row r="113" spans="1:14" x14ac:dyDescent="0.2">
      <c r="I113" s="50"/>
      <c r="K113" s="94" t="s">
        <v>39</v>
      </c>
      <c r="L113" s="752" t="s">
        <v>345</v>
      </c>
      <c r="M113" s="56">
        <v>10</v>
      </c>
      <c r="N113" s="752"/>
    </row>
    <row r="114" spans="1:14" x14ac:dyDescent="0.2">
      <c r="I114" s="996">
        <v>718</v>
      </c>
      <c r="J114" s="1042" t="s">
        <v>345</v>
      </c>
      <c r="K114" s="59" t="s">
        <v>20</v>
      </c>
      <c r="L114" s="57"/>
      <c r="N114" s="752"/>
    </row>
    <row r="115" spans="1:14" x14ac:dyDescent="0.2">
      <c r="I115" s="50"/>
      <c r="J115" s="1050" t="s">
        <v>596</v>
      </c>
      <c r="K115" s="58" t="s">
        <v>345</v>
      </c>
      <c r="L115" s="59" t="s">
        <v>20</v>
      </c>
      <c r="N115" s="752"/>
    </row>
    <row r="116" spans="1:14" x14ac:dyDescent="0.2">
      <c r="I116" s="996">
        <v>719</v>
      </c>
      <c r="J116" s="1055" t="s">
        <v>147</v>
      </c>
      <c r="K116" s="60" t="s">
        <v>20</v>
      </c>
      <c r="L116" s="61"/>
      <c r="N116" s="752"/>
    </row>
    <row r="117" spans="1:14" ht="13.5" thickBot="1" x14ac:dyDescent="0.25">
      <c r="I117" s="62"/>
      <c r="L117" s="67"/>
      <c r="M117" s="72"/>
      <c r="N117" s="752" t="s">
        <v>344</v>
      </c>
    </row>
    <row r="118" spans="1:14" x14ac:dyDescent="0.2">
      <c r="I118" s="999">
        <v>720</v>
      </c>
      <c r="J118" s="1051" t="s">
        <v>147</v>
      </c>
      <c r="K118" s="56" t="s">
        <v>20</v>
      </c>
      <c r="L118" s="61"/>
      <c r="M118" s="752"/>
      <c r="N118" s="75" t="s">
        <v>164</v>
      </c>
    </row>
    <row r="119" spans="1:14" x14ac:dyDescent="0.2">
      <c r="I119" s="50"/>
      <c r="J119" s="1050" t="s">
        <v>259</v>
      </c>
      <c r="K119" s="52" t="s">
        <v>344</v>
      </c>
      <c r="L119" s="59" t="s">
        <v>20</v>
      </c>
      <c r="M119" s="752"/>
      <c r="N119" s="752"/>
    </row>
    <row r="120" spans="1:14" ht="13.5" thickBot="1" x14ac:dyDescent="0.25">
      <c r="I120" s="996">
        <v>721</v>
      </c>
      <c r="J120" s="53" t="s">
        <v>344</v>
      </c>
      <c r="K120" s="54" t="s">
        <v>20</v>
      </c>
      <c r="L120" s="61"/>
      <c r="M120" s="90"/>
      <c r="N120" s="76" t="s">
        <v>345</v>
      </c>
    </row>
    <row r="121" spans="1:14" x14ac:dyDescent="0.2">
      <c r="I121" s="50"/>
      <c r="K121" s="94" t="s">
        <v>600</v>
      </c>
      <c r="L121" s="63" t="s">
        <v>344</v>
      </c>
      <c r="M121" s="36">
        <v>13</v>
      </c>
      <c r="N121" s="90" t="s">
        <v>165</v>
      </c>
    </row>
    <row r="122" spans="1:14" x14ac:dyDescent="0.2">
      <c r="I122" s="996">
        <v>722</v>
      </c>
      <c r="J122" s="1051" t="s">
        <v>147</v>
      </c>
      <c r="K122" s="59" t="s">
        <v>20</v>
      </c>
      <c r="L122" s="752"/>
      <c r="M122" s="752"/>
      <c r="N122" s="752"/>
    </row>
    <row r="123" spans="1:14" x14ac:dyDescent="0.2">
      <c r="I123" s="50"/>
      <c r="J123" s="1050" t="s">
        <v>37</v>
      </c>
      <c r="K123" s="1052" t="s">
        <v>147</v>
      </c>
      <c r="L123" s="36" t="s">
        <v>20</v>
      </c>
      <c r="M123" s="752"/>
      <c r="N123" s="752"/>
    </row>
    <row r="124" spans="1:14" x14ac:dyDescent="0.2">
      <c r="I124" s="996">
        <v>723</v>
      </c>
      <c r="J124" s="1055" t="s">
        <v>147</v>
      </c>
      <c r="K124" s="60" t="s">
        <v>20</v>
      </c>
      <c r="L124" s="752"/>
      <c r="M124" s="752"/>
      <c r="N124" s="752"/>
    </row>
    <row r="125" spans="1:14" x14ac:dyDescent="0.2">
      <c r="I125" s="50"/>
      <c r="J125" s="62"/>
      <c r="K125" s="752"/>
      <c r="L125" s="752"/>
      <c r="M125" s="752"/>
      <c r="N125" s="752"/>
    </row>
    <row r="126" spans="1:14" x14ac:dyDescent="0.2">
      <c r="A126" s="49" t="s">
        <v>187</v>
      </c>
      <c r="E126" s="98" t="s">
        <v>188</v>
      </c>
      <c r="F126" s="752"/>
      <c r="I126" s="50"/>
      <c r="J126" s="62"/>
      <c r="K126" s="752"/>
      <c r="L126" s="752"/>
      <c r="M126" s="752"/>
      <c r="N126" s="752"/>
    </row>
    <row r="127" spans="1:14" x14ac:dyDescent="0.2">
      <c r="F127" s="752"/>
      <c r="I127" s="50"/>
      <c r="J127" s="62"/>
      <c r="K127" s="752"/>
      <c r="L127" s="752"/>
      <c r="M127" s="752"/>
      <c r="N127" s="752"/>
    </row>
    <row r="128" spans="1:14" x14ac:dyDescent="0.2">
      <c r="A128" s="30">
        <v>1</v>
      </c>
      <c r="B128" s="32" t="s">
        <v>49</v>
      </c>
      <c r="D128" s="99">
        <v>1</v>
      </c>
      <c r="E128" s="100" t="s">
        <v>15</v>
      </c>
      <c r="F128" s="100"/>
      <c r="I128" s="50"/>
      <c r="J128" s="752"/>
      <c r="K128" s="752"/>
      <c r="L128" s="752"/>
      <c r="M128" s="752"/>
      <c r="N128" s="752"/>
    </row>
    <row r="129" spans="1:14" x14ac:dyDescent="0.2">
      <c r="A129" s="30">
        <v>2</v>
      </c>
      <c r="B129" s="764" t="s">
        <v>54</v>
      </c>
      <c r="D129" s="99">
        <v>2</v>
      </c>
      <c r="E129" s="101" t="s">
        <v>347</v>
      </c>
      <c r="F129" s="101"/>
      <c r="H129" s="752"/>
      <c r="I129" s="50"/>
      <c r="K129" s="752"/>
      <c r="L129" s="752"/>
      <c r="M129" s="752"/>
      <c r="N129" s="752"/>
    </row>
    <row r="130" spans="1:14" x14ac:dyDescent="0.2">
      <c r="A130" s="30">
        <v>3</v>
      </c>
      <c r="B130" s="774" t="s">
        <v>81</v>
      </c>
      <c r="D130" s="99">
        <v>3</v>
      </c>
      <c r="E130" s="102" t="s">
        <v>350</v>
      </c>
      <c r="F130" s="102"/>
      <c r="H130" s="752"/>
      <c r="I130" s="752"/>
      <c r="J130" s="752"/>
      <c r="K130" s="752"/>
      <c r="L130" s="752"/>
    </row>
    <row r="131" spans="1:14" x14ac:dyDescent="0.2">
      <c r="A131" s="30">
        <v>4</v>
      </c>
      <c r="B131" s="978" t="s">
        <v>47</v>
      </c>
      <c r="D131" s="99">
        <v>4</v>
      </c>
      <c r="E131" s="954" t="s">
        <v>343</v>
      </c>
      <c r="H131" s="752"/>
      <c r="I131" s="752"/>
      <c r="J131" s="752"/>
      <c r="K131" s="36"/>
      <c r="L131" s="752"/>
    </row>
    <row r="132" spans="1:14" x14ac:dyDescent="0.2">
      <c r="A132" s="30">
        <v>5</v>
      </c>
      <c r="B132" s="978" t="s">
        <v>46</v>
      </c>
      <c r="D132" s="99">
        <v>5</v>
      </c>
      <c r="E132" s="954" t="s">
        <v>344</v>
      </c>
      <c r="H132" s="752"/>
      <c r="I132" s="752"/>
      <c r="J132" s="752"/>
      <c r="K132" s="752"/>
      <c r="L132" s="752"/>
    </row>
    <row r="133" spans="1:14" x14ac:dyDescent="0.2">
      <c r="A133" s="30">
        <v>6</v>
      </c>
      <c r="B133" s="1045" t="s">
        <v>15</v>
      </c>
      <c r="D133" s="99">
        <v>6</v>
      </c>
      <c r="E133" s="954" t="s">
        <v>346</v>
      </c>
      <c r="H133" s="35"/>
      <c r="I133" s="752"/>
      <c r="J133" s="752"/>
      <c r="K133" s="752"/>
      <c r="L133" s="752"/>
    </row>
    <row r="134" spans="1:14" x14ac:dyDescent="0.2">
      <c r="A134" s="30">
        <v>7</v>
      </c>
      <c r="B134" s="1045" t="s">
        <v>48</v>
      </c>
      <c r="D134" s="99">
        <v>7</v>
      </c>
      <c r="E134" s="954" t="s">
        <v>345</v>
      </c>
      <c r="G134" s="103"/>
      <c r="I134" s="752"/>
      <c r="J134" s="752"/>
      <c r="K134" s="752"/>
      <c r="L134" s="752"/>
    </row>
    <row r="135" spans="1:14" x14ac:dyDescent="0.2">
      <c r="A135" s="30">
        <v>8</v>
      </c>
      <c r="B135" s="978" t="s">
        <v>57</v>
      </c>
      <c r="D135" s="99"/>
      <c r="G135" s="103"/>
      <c r="J135" s="56"/>
    </row>
    <row r="136" spans="1:14" x14ac:dyDescent="0.2">
      <c r="A136" s="30">
        <v>9</v>
      </c>
      <c r="B136" s="1045" t="s">
        <v>45</v>
      </c>
      <c r="D136" s="99"/>
      <c r="E136" s="103"/>
      <c r="H136" s="48"/>
    </row>
    <row r="137" spans="1:14" x14ac:dyDescent="0.2">
      <c r="A137" s="30">
        <v>10</v>
      </c>
      <c r="B137" s="1041" t="s">
        <v>347</v>
      </c>
      <c r="D137" s="99"/>
      <c r="H137" s="48"/>
    </row>
    <row r="138" spans="1:14" x14ac:dyDescent="0.2">
      <c r="A138" s="30">
        <v>11</v>
      </c>
      <c r="B138" s="1041" t="s">
        <v>350</v>
      </c>
      <c r="D138" s="99"/>
      <c r="E138" s="103"/>
    </row>
    <row r="139" spans="1:14" x14ac:dyDescent="0.2">
      <c r="A139" s="30">
        <v>12</v>
      </c>
      <c r="B139" s="1046" t="s">
        <v>343</v>
      </c>
      <c r="D139" s="99"/>
    </row>
    <row r="140" spans="1:14" x14ac:dyDescent="0.2">
      <c r="A140" s="30">
        <v>13</v>
      </c>
      <c r="B140" s="951" t="s">
        <v>349</v>
      </c>
      <c r="D140" s="99"/>
    </row>
    <row r="141" spans="1:14" x14ac:dyDescent="0.2">
      <c r="A141" s="30">
        <v>14</v>
      </c>
      <c r="B141" s="951" t="s">
        <v>351</v>
      </c>
    </row>
    <row r="142" spans="1:14" x14ac:dyDescent="0.2">
      <c r="A142" s="30">
        <v>15</v>
      </c>
      <c r="B142" s="1045" t="s">
        <v>346</v>
      </c>
    </row>
    <row r="143" spans="1:14" x14ac:dyDescent="0.2">
      <c r="A143" s="30">
        <v>16</v>
      </c>
      <c r="B143" s="1056" t="s">
        <v>452</v>
      </c>
    </row>
    <row r="144" spans="1:14" x14ac:dyDescent="0.2">
      <c r="A144" s="30">
        <v>17</v>
      </c>
      <c r="B144" s="1045" t="s">
        <v>344</v>
      </c>
    </row>
    <row r="145" spans="1:2" x14ac:dyDescent="0.2">
      <c r="A145" s="30">
        <v>18</v>
      </c>
      <c r="B145" s="1041" t="s">
        <v>345</v>
      </c>
    </row>
  </sheetData>
  <conditionalFormatting sqref="B137">
    <cfRule type="duplicateValues" dxfId="10" priority="6" stopIfTrue="1"/>
  </conditionalFormatting>
  <conditionalFormatting sqref="B138">
    <cfRule type="duplicateValues" dxfId="9" priority="5" stopIfTrue="1"/>
  </conditionalFormatting>
  <conditionalFormatting sqref="B139">
    <cfRule type="duplicateValues" dxfId="8" priority="4" stopIfTrue="1"/>
  </conditionalFormatting>
  <conditionalFormatting sqref="B140">
    <cfRule type="duplicateValues" dxfId="7" priority="3" stopIfTrue="1"/>
  </conditionalFormatting>
  <conditionalFormatting sqref="B141">
    <cfRule type="duplicateValues" dxfId="6" priority="2" stopIfTrue="1"/>
  </conditionalFormatting>
  <conditionalFormatting sqref="B145">
    <cfRule type="duplicateValues" dxfId="5" priority="1" stopIfTrue="1"/>
  </conditionalFormatting>
  <pageMargins left="0.39370078740157483" right="0.39370078740157483" top="0.59055118110236227" bottom="0.39370078740157483" header="0.39370078740157483" footer="0"/>
  <pageSetup paperSize="9" fitToHeight="0" orientation="landscape" r:id="rId1"/>
  <headerFooter>
    <oddHeader>&amp;R&amp;"Arial,Regular"&amp;9Page &amp;P of &amp;N</oddHeader>
  </headerFooter>
  <rowBreaks count="5" manualBreakCount="5">
    <brk id="41" max="13" man="1"/>
    <brk id="76" max="13" man="1"/>
    <brk id="108" max="13" man="1"/>
    <brk id="147" max="13" man="1"/>
    <brk id="149" max="12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1"/>
  <sheetViews>
    <sheetView showGridLines="0" showRowColHeaders="0" zoomScaleNormal="100" workbookViewId="0">
      <pane ySplit="6" topLeftCell="A7" activePane="bottomLeft" state="frozen"/>
      <selection activeCell="K1" sqref="K1"/>
      <selection pane="bottomLeft" activeCell="Y1" sqref="Y1"/>
    </sheetView>
  </sheetViews>
  <sheetFormatPr defaultRowHeight="12.75" x14ac:dyDescent="0.2"/>
  <cols>
    <col min="1" max="1" width="3" style="945" customWidth="1"/>
    <col min="2" max="2" width="18.140625" style="945" customWidth="1"/>
    <col min="3" max="3" width="3.28515625" style="1051" bestFit="1" customWidth="1"/>
    <col min="4" max="21" width="3" style="945" customWidth="1"/>
    <col min="22" max="22" width="6.5703125" style="880" bestFit="1" customWidth="1"/>
    <col min="23" max="23" width="5.140625" style="945" bestFit="1" customWidth="1"/>
    <col min="24" max="25" width="5" style="945" customWidth="1"/>
    <col min="26" max="16384" width="9.140625" style="945"/>
  </cols>
  <sheetData>
    <row r="1" spans="1:25" x14ac:dyDescent="0.2">
      <c r="A1" s="11" t="str">
        <f>UPPER((Kalend!E44)&amp;" - "&amp;(Kalend!C44)&amp;" - "&amp;(Kalend!D44))</f>
        <v>V-PL - VOKA PLIKS-PLAKS - ÜKSIK</v>
      </c>
      <c r="N1" s="297" t="str">
        <f>HYPERLINK("#Kalend!I1","Kalender")</f>
        <v>Kalender</v>
      </c>
      <c r="O1" s="478"/>
      <c r="Q1" s="297" t="str">
        <f>HYPERLINK("#Reit!G1","Reiting")</f>
        <v>Reiting</v>
      </c>
      <c r="R1" s="478"/>
      <c r="S1" s="478"/>
      <c r="U1" s="880" t="s">
        <v>103</v>
      </c>
    </row>
    <row r="2" spans="1:25" x14ac:dyDescent="0.2">
      <c r="A2" s="478" t="str">
        <f>"Toimumisaeg: "&amp;(Kalend!A43)&amp;" kell "&amp;(Kalend!B43)</f>
        <v>Toimumisaeg: P, 02.10.2016 kell 10:00</v>
      </c>
      <c r="U2" s="880" t="s">
        <v>104</v>
      </c>
    </row>
    <row r="3" spans="1:25" x14ac:dyDescent="0.2">
      <c r="A3" s="478" t="str">
        <f>"Toimumiskoht: "&amp;(Kalend!F43)</f>
        <v>Toimumiskoht: Voka staadion</v>
      </c>
      <c r="U3" s="880" t="s">
        <v>105</v>
      </c>
    </row>
    <row r="4" spans="1:25" x14ac:dyDescent="0.2">
      <c r="A4" s="478" t="str">
        <f>"Korraldaja: "&amp;(Kalend!G43)</f>
        <v>Korraldaja: Johannes Neiland</v>
      </c>
      <c r="V4" s="279"/>
    </row>
    <row r="5" spans="1:25" x14ac:dyDescent="0.2">
      <c r="V5" s="280"/>
    </row>
    <row r="6" spans="1:25" s="880" customFormat="1" x14ac:dyDescent="0.2">
      <c r="A6" s="281" t="s">
        <v>603</v>
      </c>
      <c r="B6" s="41" t="s">
        <v>38</v>
      </c>
      <c r="C6" s="41" t="s">
        <v>603</v>
      </c>
      <c r="D6" s="41">
        <v>1</v>
      </c>
      <c r="E6" s="41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41">
        <v>8</v>
      </c>
      <c r="L6" s="41">
        <v>9</v>
      </c>
      <c r="M6" s="41">
        <v>10</v>
      </c>
      <c r="N6" s="41">
        <v>11</v>
      </c>
      <c r="O6" s="41">
        <v>12</v>
      </c>
      <c r="P6" s="41">
        <v>13</v>
      </c>
      <c r="Q6" s="41">
        <v>14</v>
      </c>
      <c r="R6" s="41">
        <v>15</v>
      </c>
      <c r="S6" s="41">
        <v>16</v>
      </c>
      <c r="T6" s="41">
        <v>17</v>
      </c>
      <c r="U6" s="41">
        <v>18</v>
      </c>
      <c r="V6" s="41" t="s">
        <v>99</v>
      </c>
      <c r="W6" s="41" t="s">
        <v>86</v>
      </c>
      <c r="X6" s="287" t="s">
        <v>35</v>
      </c>
      <c r="Y6" s="287" t="s">
        <v>100</v>
      </c>
    </row>
    <row r="7" spans="1:25" s="880" customFormat="1" x14ac:dyDescent="0.2">
      <c r="A7" s="1065">
        <v>1</v>
      </c>
      <c r="B7" s="282" t="s">
        <v>44</v>
      </c>
      <c r="C7" s="1247">
        <v>1</v>
      </c>
      <c r="D7" s="283"/>
      <c r="E7" s="284">
        <v>1</v>
      </c>
      <c r="F7" s="281">
        <v>0</v>
      </c>
      <c r="G7" s="281">
        <v>2</v>
      </c>
      <c r="H7" s="281">
        <v>0</v>
      </c>
      <c r="I7" s="281">
        <v>2</v>
      </c>
      <c r="J7" s="281">
        <v>2</v>
      </c>
      <c r="K7" s="281">
        <v>2</v>
      </c>
      <c r="L7" s="281">
        <v>1</v>
      </c>
      <c r="M7" s="281">
        <v>0</v>
      </c>
      <c r="N7" s="281">
        <v>1</v>
      </c>
      <c r="O7" s="281">
        <v>2</v>
      </c>
      <c r="P7" s="281">
        <v>0</v>
      </c>
      <c r="Q7" s="281">
        <v>1</v>
      </c>
      <c r="R7" s="281">
        <v>2</v>
      </c>
      <c r="S7" s="281">
        <v>2</v>
      </c>
      <c r="T7" s="281">
        <v>0</v>
      </c>
      <c r="U7" s="281">
        <v>1</v>
      </c>
      <c r="V7" s="260">
        <f>SUM(D7:U7)</f>
        <v>19</v>
      </c>
      <c r="W7" s="285">
        <f t="shared" ref="W7:W20" si="0">RANK(V7,V$7:V$24,0)</f>
        <v>7</v>
      </c>
      <c r="X7" s="286">
        <f t="shared" ref="X7:X24" si="1">COUNTIF(D7:U7,"=2")</f>
        <v>7</v>
      </c>
      <c r="Y7" s="287">
        <f t="shared" ref="Y7:Y24" si="2">COUNTIF(D7:U7,"=1")</f>
        <v>5</v>
      </c>
    </row>
    <row r="8" spans="1:25" s="880" customFormat="1" x14ac:dyDescent="0.2">
      <c r="A8" s="1065">
        <v>2</v>
      </c>
      <c r="B8" s="282" t="s">
        <v>344</v>
      </c>
      <c r="C8" s="1247">
        <v>2</v>
      </c>
      <c r="D8" s="284">
        <v>1</v>
      </c>
      <c r="E8" s="283"/>
      <c r="F8" s="281">
        <v>2</v>
      </c>
      <c r="G8" s="281">
        <v>2</v>
      </c>
      <c r="H8" s="281">
        <v>0</v>
      </c>
      <c r="I8" s="281">
        <v>0</v>
      </c>
      <c r="J8" s="281">
        <v>0</v>
      </c>
      <c r="K8" s="281">
        <v>2</v>
      </c>
      <c r="L8" s="281">
        <v>2</v>
      </c>
      <c r="M8" s="281">
        <v>2</v>
      </c>
      <c r="N8" s="281">
        <v>1</v>
      </c>
      <c r="O8" s="281">
        <v>2</v>
      </c>
      <c r="P8" s="281">
        <v>1</v>
      </c>
      <c r="Q8" s="281">
        <v>2</v>
      </c>
      <c r="R8" s="281">
        <v>0</v>
      </c>
      <c r="S8" s="281">
        <v>0</v>
      </c>
      <c r="T8" s="281">
        <v>1</v>
      </c>
      <c r="U8" s="281">
        <v>1</v>
      </c>
      <c r="V8" s="260">
        <f t="shared" ref="V8:V24" si="3">SUM(D8:U8)</f>
        <v>19</v>
      </c>
      <c r="W8" s="285">
        <f t="shared" si="0"/>
        <v>7</v>
      </c>
      <c r="X8" s="286">
        <f t="shared" si="1"/>
        <v>7</v>
      </c>
      <c r="Y8" s="287">
        <f t="shared" si="2"/>
        <v>5</v>
      </c>
    </row>
    <row r="9" spans="1:25" s="880" customFormat="1" x14ac:dyDescent="0.2">
      <c r="A9" s="1065">
        <v>3</v>
      </c>
      <c r="B9" s="1063" t="s">
        <v>46</v>
      </c>
      <c r="C9" s="1247">
        <v>3</v>
      </c>
      <c r="D9" s="284">
        <v>2</v>
      </c>
      <c r="E9" s="281">
        <v>0</v>
      </c>
      <c r="F9" s="283"/>
      <c r="G9" s="281">
        <v>2</v>
      </c>
      <c r="H9" s="281">
        <v>0</v>
      </c>
      <c r="I9" s="281">
        <v>2</v>
      </c>
      <c r="J9" s="281">
        <v>1</v>
      </c>
      <c r="K9" s="281">
        <v>2</v>
      </c>
      <c r="L9" s="281">
        <v>2</v>
      </c>
      <c r="M9" s="281">
        <v>2</v>
      </c>
      <c r="N9" s="281">
        <v>1</v>
      </c>
      <c r="O9" s="281">
        <v>2</v>
      </c>
      <c r="P9" s="281">
        <v>2</v>
      </c>
      <c r="Q9" s="281">
        <v>2</v>
      </c>
      <c r="R9" s="281">
        <v>2</v>
      </c>
      <c r="S9" s="281">
        <v>0</v>
      </c>
      <c r="T9" s="281">
        <v>1</v>
      </c>
      <c r="U9" s="281">
        <v>2</v>
      </c>
      <c r="V9" s="260">
        <f t="shared" si="3"/>
        <v>25</v>
      </c>
      <c r="W9" s="1064">
        <f t="shared" si="0"/>
        <v>1</v>
      </c>
      <c r="X9" s="286">
        <f t="shared" si="1"/>
        <v>11</v>
      </c>
      <c r="Y9" s="287">
        <f t="shared" si="2"/>
        <v>3</v>
      </c>
    </row>
    <row r="10" spans="1:25" s="880" customFormat="1" x14ac:dyDescent="0.2">
      <c r="A10" s="1065">
        <v>4</v>
      </c>
      <c r="B10" s="282" t="s">
        <v>67</v>
      </c>
      <c r="C10" s="1247">
        <v>4</v>
      </c>
      <c r="D10" s="284">
        <v>0</v>
      </c>
      <c r="E10" s="281">
        <v>0</v>
      </c>
      <c r="F10" s="281">
        <v>0</v>
      </c>
      <c r="G10" s="283"/>
      <c r="H10" s="281">
        <v>1</v>
      </c>
      <c r="I10" s="281">
        <v>0</v>
      </c>
      <c r="J10" s="281">
        <v>0</v>
      </c>
      <c r="K10" s="281">
        <v>0</v>
      </c>
      <c r="L10" s="281">
        <v>0</v>
      </c>
      <c r="M10" s="281">
        <v>0</v>
      </c>
      <c r="N10" s="281">
        <v>0</v>
      </c>
      <c r="O10" s="281">
        <v>0</v>
      </c>
      <c r="P10" s="281">
        <v>0</v>
      </c>
      <c r="Q10" s="281">
        <v>0</v>
      </c>
      <c r="R10" s="281">
        <v>0</v>
      </c>
      <c r="S10" s="281">
        <v>2</v>
      </c>
      <c r="T10" s="281">
        <v>1</v>
      </c>
      <c r="U10" s="281">
        <v>2</v>
      </c>
      <c r="V10" s="260">
        <f t="shared" si="3"/>
        <v>6</v>
      </c>
      <c r="W10" s="285">
        <f t="shared" si="0"/>
        <v>18</v>
      </c>
      <c r="X10" s="286">
        <f t="shared" si="1"/>
        <v>2</v>
      </c>
      <c r="Y10" s="287">
        <f t="shared" si="2"/>
        <v>2</v>
      </c>
    </row>
    <row r="11" spans="1:25" s="880" customFormat="1" x14ac:dyDescent="0.2">
      <c r="A11" s="1065">
        <v>5</v>
      </c>
      <c r="B11" s="1079" t="s">
        <v>49</v>
      </c>
      <c r="C11" s="1247">
        <v>5</v>
      </c>
      <c r="D11" s="284">
        <v>2</v>
      </c>
      <c r="E11" s="281">
        <v>2</v>
      </c>
      <c r="F11" s="281">
        <v>2</v>
      </c>
      <c r="G11" s="281">
        <v>1</v>
      </c>
      <c r="H11" s="283"/>
      <c r="I11" s="284">
        <v>0</v>
      </c>
      <c r="J11" s="281">
        <v>2</v>
      </c>
      <c r="K11" s="281">
        <v>2</v>
      </c>
      <c r="L11" s="281">
        <v>1</v>
      </c>
      <c r="M11" s="281">
        <v>0</v>
      </c>
      <c r="N11" s="281">
        <v>2</v>
      </c>
      <c r="O11" s="281">
        <v>2</v>
      </c>
      <c r="P11" s="281">
        <v>1</v>
      </c>
      <c r="Q11" s="281">
        <v>1</v>
      </c>
      <c r="R11" s="281">
        <v>2</v>
      </c>
      <c r="S11" s="281">
        <v>2</v>
      </c>
      <c r="T11" s="281">
        <v>0</v>
      </c>
      <c r="U11" s="281">
        <v>0</v>
      </c>
      <c r="V11" s="260">
        <f t="shared" si="3"/>
        <v>22</v>
      </c>
      <c r="W11" s="1080">
        <f t="shared" si="0"/>
        <v>2</v>
      </c>
      <c r="X11" s="286">
        <f t="shared" si="1"/>
        <v>9</v>
      </c>
      <c r="Y11" s="287">
        <f t="shared" si="2"/>
        <v>4</v>
      </c>
    </row>
    <row r="12" spans="1:25" s="880" customFormat="1" x14ac:dyDescent="0.2">
      <c r="A12" s="1065">
        <v>6</v>
      </c>
      <c r="B12" s="282" t="s">
        <v>47</v>
      </c>
      <c r="C12" s="1247">
        <v>6</v>
      </c>
      <c r="D12" s="284">
        <v>0</v>
      </c>
      <c r="E12" s="281">
        <v>2</v>
      </c>
      <c r="F12" s="281">
        <v>0</v>
      </c>
      <c r="G12" s="281">
        <v>2</v>
      </c>
      <c r="H12" s="281">
        <v>2</v>
      </c>
      <c r="I12" s="283"/>
      <c r="J12" s="281">
        <v>1</v>
      </c>
      <c r="K12" s="281">
        <v>0</v>
      </c>
      <c r="L12" s="281">
        <v>0</v>
      </c>
      <c r="M12" s="281">
        <v>2</v>
      </c>
      <c r="N12" s="281">
        <v>0</v>
      </c>
      <c r="O12" s="281">
        <v>2</v>
      </c>
      <c r="P12" s="281">
        <v>2</v>
      </c>
      <c r="Q12" s="281">
        <v>0</v>
      </c>
      <c r="R12" s="281">
        <v>0</v>
      </c>
      <c r="S12" s="281">
        <v>1</v>
      </c>
      <c r="T12" s="281">
        <v>2</v>
      </c>
      <c r="U12" s="281">
        <v>1</v>
      </c>
      <c r="V12" s="1081">
        <f t="shared" si="3"/>
        <v>17</v>
      </c>
      <c r="W12" s="285">
        <f t="shared" si="0"/>
        <v>12</v>
      </c>
      <c r="X12" s="286">
        <f t="shared" si="1"/>
        <v>7</v>
      </c>
      <c r="Y12" s="287">
        <f t="shared" si="2"/>
        <v>3</v>
      </c>
    </row>
    <row r="13" spans="1:25" s="880" customFormat="1" x14ac:dyDescent="0.2">
      <c r="A13" s="1065">
        <v>7</v>
      </c>
      <c r="B13" s="282" t="s">
        <v>347</v>
      </c>
      <c r="C13" s="1247">
        <v>7</v>
      </c>
      <c r="D13" s="284">
        <v>0</v>
      </c>
      <c r="E13" s="281">
        <v>2</v>
      </c>
      <c r="F13" s="281">
        <v>1</v>
      </c>
      <c r="G13" s="281">
        <v>2</v>
      </c>
      <c r="H13" s="281">
        <v>0</v>
      </c>
      <c r="I13" s="281">
        <v>1</v>
      </c>
      <c r="J13" s="283"/>
      <c r="K13" s="281">
        <v>0</v>
      </c>
      <c r="L13" s="281">
        <v>0</v>
      </c>
      <c r="M13" s="281">
        <v>2</v>
      </c>
      <c r="N13" s="281">
        <v>1</v>
      </c>
      <c r="O13" s="281">
        <v>2</v>
      </c>
      <c r="P13" s="281">
        <v>0</v>
      </c>
      <c r="Q13" s="281">
        <v>0</v>
      </c>
      <c r="R13" s="281">
        <v>0</v>
      </c>
      <c r="S13" s="281">
        <v>0</v>
      </c>
      <c r="T13" s="281">
        <v>0</v>
      </c>
      <c r="U13" s="281">
        <v>0</v>
      </c>
      <c r="V13" s="260">
        <f t="shared" si="3"/>
        <v>11</v>
      </c>
      <c r="W13" s="285">
        <f t="shared" si="0"/>
        <v>15</v>
      </c>
      <c r="X13" s="286">
        <f t="shared" si="1"/>
        <v>4</v>
      </c>
      <c r="Y13" s="287">
        <f t="shared" si="2"/>
        <v>3</v>
      </c>
    </row>
    <row r="14" spans="1:25" s="880" customFormat="1" x14ac:dyDescent="0.2">
      <c r="A14" s="1065">
        <v>8</v>
      </c>
      <c r="B14" s="282" t="s">
        <v>345</v>
      </c>
      <c r="C14" s="1247">
        <v>8</v>
      </c>
      <c r="D14" s="284">
        <v>0</v>
      </c>
      <c r="E14" s="281">
        <v>0</v>
      </c>
      <c r="F14" s="281">
        <v>0</v>
      </c>
      <c r="G14" s="281">
        <v>2</v>
      </c>
      <c r="H14" s="281">
        <v>0</v>
      </c>
      <c r="I14" s="281">
        <v>2</v>
      </c>
      <c r="J14" s="281">
        <v>2</v>
      </c>
      <c r="K14" s="283"/>
      <c r="L14" s="281">
        <v>0</v>
      </c>
      <c r="M14" s="281">
        <v>2</v>
      </c>
      <c r="N14" s="281">
        <v>0</v>
      </c>
      <c r="O14" s="281">
        <v>1</v>
      </c>
      <c r="P14" s="281">
        <v>0</v>
      </c>
      <c r="Q14" s="281">
        <v>0</v>
      </c>
      <c r="R14" s="281">
        <v>0</v>
      </c>
      <c r="S14" s="281">
        <v>0</v>
      </c>
      <c r="T14" s="281">
        <v>1</v>
      </c>
      <c r="U14" s="281">
        <v>0</v>
      </c>
      <c r="V14" s="260">
        <f t="shared" si="3"/>
        <v>10</v>
      </c>
      <c r="W14" s="285">
        <f t="shared" si="0"/>
        <v>16</v>
      </c>
      <c r="X14" s="286">
        <f t="shared" si="1"/>
        <v>4</v>
      </c>
      <c r="Y14" s="287">
        <f t="shared" si="2"/>
        <v>2</v>
      </c>
    </row>
    <row r="15" spans="1:25" s="880" customFormat="1" x14ac:dyDescent="0.2">
      <c r="A15" s="1065">
        <v>9</v>
      </c>
      <c r="B15" s="282" t="s">
        <v>346</v>
      </c>
      <c r="C15" s="1247">
        <v>9</v>
      </c>
      <c r="D15" s="284">
        <v>1</v>
      </c>
      <c r="E15" s="281">
        <v>0</v>
      </c>
      <c r="F15" s="281">
        <v>0</v>
      </c>
      <c r="G15" s="281">
        <v>2</v>
      </c>
      <c r="H15" s="281">
        <v>1</v>
      </c>
      <c r="I15" s="281">
        <v>2</v>
      </c>
      <c r="J15" s="281">
        <v>2</v>
      </c>
      <c r="K15" s="281">
        <v>2</v>
      </c>
      <c r="L15" s="283"/>
      <c r="M15" s="281">
        <v>2</v>
      </c>
      <c r="N15" s="281">
        <v>0</v>
      </c>
      <c r="O15" s="281">
        <v>0</v>
      </c>
      <c r="P15" s="281">
        <v>2</v>
      </c>
      <c r="Q15" s="281">
        <v>2</v>
      </c>
      <c r="R15" s="281">
        <v>0</v>
      </c>
      <c r="S15" s="281">
        <v>0</v>
      </c>
      <c r="T15" s="281">
        <v>2</v>
      </c>
      <c r="U15" s="281">
        <v>2</v>
      </c>
      <c r="V15" s="260">
        <f t="shared" si="3"/>
        <v>20</v>
      </c>
      <c r="W15" s="285">
        <f t="shared" si="0"/>
        <v>6</v>
      </c>
      <c r="X15" s="286">
        <f t="shared" si="1"/>
        <v>9</v>
      </c>
      <c r="Y15" s="287">
        <f t="shared" si="2"/>
        <v>2</v>
      </c>
    </row>
    <row r="16" spans="1:25" s="880" customFormat="1" x14ac:dyDescent="0.2">
      <c r="A16" s="1065">
        <v>10</v>
      </c>
      <c r="B16" s="282" t="s">
        <v>343</v>
      </c>
      <c r="C16" s="1247">
        <v>10</v>
      </c>
      <c r="D16" s="284">
        <v>2</v>
      </c>
      <c r="E16" s="281">
        <v>0</v>
      </c>
      <c r="F16" s="281">
        <v>0</v>
      </c>
      <c r="G16" s="281">
        <v>2</v>
      </c>
      <c r="H16" s="281">
        <v>2</v>
      </c>
      <c r="I16" s="281">
        <v>0</v>
      </c>
      <c r="J16" s="281">
        <v>0</v>
      </c>
      <c r="K16" s="281">
        <v>0</v>
      </c>
      <c r="L16" s="281">
        <v>0</v>
      </c>
      <c r="M16" s="283"/>
      <c r="N16" s="281">
        <v>0</v>
      </c>
      <c r="O16" s="281">
        <v>0</v>
      </c>
      <c r="P16" s="281">
        <v>0</v>
      </c>
      <c r="Q16" s="281">
        <v>0</v>
      </c>
      <c r="R16" s="281">
        <v>1</v>
      </c>
      <c r="S16" s="281">
        <v>0</v>
      </c>
      <c r="T16" s="281">
        <v>0</v>
      </c>
      <c r="U16" s="281">
        <v>0</v>
      </c>
      <c r="V16" s="260">
        <f t="shared" si="3"/>
        <v>7</v>
      </c>
      <c r="W16" s="285">
        <f t="shared" si="0"/>
        <v>17</v>
      </c>
      <c r="X16" s="286">
        <f t="shared" si="1"/>
        <v>3</v>
      </c>
      <c r="Y16" s="287">
        <f t="shared" si="2"/>
        <v>1</v>
      </c>
    </row>
    <row r="17" spans="1:25" s="880" customFormat="1" x14ac:dyDescent="0.2">
      <c r="A17" s="1065">
        <v>11</v>
      </c>
      <c r="B17" s="282" t="s">
        <v>48</v>
      </c>
      <c r="C17" s="1247">
        <v>11</v>
      </c>
      <c r="D17" s="284">
        <v>1</v>
      </c>
      <c r="E17" s="281">
        <v>1</v>
      </c>
      <c r="F17" s="281">
        <v>1</v>
      </c>
      <c r="G17" s="281">
        <v>2</v>
      </c>
      <c r="H17" s="281">
        <v>0</v>
      </c>
      <c r="I17" s="281">
        <v>2</v>
      </c>
      <c r="J17" s="281">
        <v>1</v>
      </c>
      <c r="K17" s="281">
        <v>2</v>
      </c>
      <c r="L17" s="281">
        <v>2</v>
      </c>
      <c r="M17" s="281">
        <v>2</v>
      </c>
      <c r="N17" s="283"/>
      <c r="O17" s="281">
        <v>0</v>
      </c>
      <c r="P17" s="281">
        <v>1</v>
      </c>
      <c r="Q17" s="281">
        <v>2</v>
      </c>
      <c r="R17" s="281">
        <v>0</v>
      </c>
      <c r="S17" s="281">
        <v>0</v>
      </c>
      <c r="T17" s="281">
        <v>2</v>
      </c>
      <c r="U17" s="281">
        <v>0</v>
      </c>
      <c r="V17" s="260">
        <f t="shared" si="3"/>
        <v>19</v>
      </c>
      <c r="W17" s="285">
        <f t="shared" si="0"/>
        <v>7</v>
      </c>
      <c r="X17" s="286">
        <f t="shared" si="1"/>
        <v>7</v>
      </c>
      <c r="Y17" s="287">
        <f t="shared" si="2"/>
        <v>5</v>
      </c>
    </row>
    <row r="18" spans="1:25" s="880" customFormat="1" x14ac:dyDescent="0.2">
      <c r="A18" s="1065">
        <v>12</v>
      </c>
      <c r="B18" s="282" t="s">
        <v>351</v>
      </c>
      <c r="C18" s="1247">
        <v>12</v>
      </c>
      <c r="D18" s="284">
        <v>0</v>
      </c>
      <c r="E18" s="281">
        <v>0</v>
      </c>
      <c r="F18" s="281">
        <v>0</v>
      </c>
      <c r="G18" s="281">
        <v>2</v>
      </c>
      <c r="H18" s="281">
        <v>0</v>
      </c>
      <c r="I18" s="281">
        <v>0</v>
      </c>
      <c r="J18" s="281">
        <v>0</v>
      </c>
      <c r="K18" s="281">
        <v>1</v>
      </c>
      <c r="L18" s="281">
        <v>2</v>
      </c>
      <c r="M18" s="281">
        <v>2</v>
      </c>
      <c r="N18" s="281">
        <v>2</v>
      </c>
      <c r="O18" s="283"/>
      <c r="P18" s="281">
        <v>0</v>
      </c>
      <c r="Q18" s="281">
        <v>1</v>
      </c>
      <c r="R18" s="281">
        <v>1</v>
      </c>
      <c r="S18" s="281">
        <v>2</v>
      </c>
      <c r="T18" s="281">
        <v>1</v>
      </c>
      <c r="U18" s="281">
        <v>2</v>
      </c>
      <c r="V18" s="260">
        <f t="shared" si="3"/>
        <v>16</v>
      </c>
      <c r="W18" s="285">
        <f t="shared" si="0"/>
        <v>13</v>
      </c>
      <c r="X18" s="286">
        <f t="shared" si="1"/>
        <v>6</v>
      </c>
      <c r="Y18" s="287">
        <f t="shared" si="2"/>
        <v>4</v>
      </c>
    </row>
    <row r="19" spans="1:25" s="880" customFormat="1" x14ac:dyDescent="0.2">
      <c r="A19" s="1065">
        <v>13</v>
      </c>
      <c r="B19" s="1072" t="s">
        <v>54</v>
      </c>
      <c r="C19" s="1247">
        <v>13</v>
      </c>
      <c r="D19" s="284">
        <v>2</v>
      </c>
      <c r="E19" s="281">
        <v>1</v>
      </c>
      <c r="F19" s="281">
        <v>0</v>
      </c>
      <c r="G19" s="281">
        <v>2</v>
      </c>
      <c r="H19" s="281">
        <v>1</v>
      </c>
      <c r="I19" s="281">
        <v>0</v>
      </c>
      <c r="J19" s="281">
        <v>2</v>
      </c>
      <c r="K19" s="281">
        <v>2</v>
      </c>
      <c r="L19" s="281">
        <v>0</v>
      </c>
      <c r="M19" s="281">
        <v>1</v>
      </c>
      <c r="N19" s="281">
        <v>2</v>
      </c>
      <c r="O19" s="281">
        <v>2</v>
      </c>
      <c r="P19" s="283"/>
      <c r="Q19" s="281">
        <v>2</v>
      </c>
      <c r="R19" s="281">
        <v>1</v>
      </c>
      <c r="S19" s="281">
        <v>2</v>
      </c>
      <c r="T19" s="281">
        <v>0</v>
      </c>
      <c r="U19" s="281">
        <v>1</v>
      </c>
      <c r="V19" s="1071">
        <f t="shared" si="3"/>
        <v>21</v>
      </c>
      <c r="W19" s="1073">
        <f t="shared" si="0"/>
        <v>3</v>
      </c>
      <c r="X19" s="286">
        <f t="shared" si="1"/>
        <v>8</v>
      </c>
      <c r="Y19" s="287">
        <f t="shared" si="2"/>
        <v>5</v>
      </c>
    </row>
    <row r="20" spans="1:25" s="880" customFormat="1" x14ac:dyDescent="0.2">
      <c r="A20" s="1065">
        <v>14</v>
      </c>
      <c r="B20" s="282" t="s">
        <v>57</v>
      </c>
      <c r="C20" s="1247">
        <v>14</v>
      </c>
      <c r="D20" s="284">
        <v>1</v>
      </c>
      <c r="E20" s="281">
        <v>0</v>
      </c>
      <c r="F20" s="281">
        <v>0</v>
      </c>
      <c r="G20" s="281">
        <v>2</v>
      </c>
      <c r="H20" s="281">
        <v>1</v>
      </c>
      <c r="I20" s="281">
        <v>2</v>
      </c>
      <c r="J20" s="281">
        <v>2</v>
      </c>
      <c r="K20" s="281">
        <v>2</v>
      </c>
      <c r="L20" s="281">
        <v>0</v>
      </c>
      <c r="M20" s="281">
        <v>2</v>
      </c>
      <c r="N20" s="281">
        <v>0</v>
      </c>
      <c r="O20" s="281">
        <v>1</v>
      </c>
      <c r="P20" s="281">
        <v>0</v>
      </c>
      <c r="Q20" s="283"/>
      <c r="R20" s="281">
        <v>2</v>
      </c>
      <c r="S20" s="281">
        <v>0</v>
      </c>
      <c r="T20" s="281">
        <v>0</v>
      </c>
      <c r="U20" s="281">
        <v>1</v>
      </c>
      <c r="V20" s="1081">
        <f t="shared" si="3"/>
        <v>16</v>
      </c>
      <c r="W20" s="285">
        <f t="shared" si="0"/>
        <v>13</v>
      </c>
      <c r="X20" s="286">
        <f t="shared" si="1"/>
        <v>6</v>
      </c>
      <c r="Y20" s="287">
        <f t="shared" si="2"/>
        <v>4</v>
      </c>
    </row>
    <row r="21" spans="1:25" s="880" customFormat="1" x14ac:dyDescent="0.2">
      <c r="A21" s="1065">
        <v>15</v>
      </c>
      <c r="B21" s="282" t="s">
        <v>45</v>
      </c>
      <c r="C21" s="1247">
        <v>15</v>
      </c>
      <c r="D21" s="284">
        <v>0</v>
      </c>
      <c r="E21" s="281">
        <v>2</v>
      </c>
      <c r="F21" s="281">
        <v>0</v>
      </c>
      <c r="G21" s="281">
        <v>2</v>
      </c>
      <c r="H21" s="281">
        <v>0</v>
      </c>
      <c r="I21" s="281">
        <v>2</v>
      </c>
      <c r="J21" s="281">
        <v>2</v>
      </c>
      <c r="K21" s="281">
        <v>2</v>
      </c>
      <c r="L21" s="281">
        <v>2</v>
      </c>
      <c r="M21" s="281">
        <v>1</v>
      </c>
      <c r="N21" s="281">
        <v>2</v>
      </c>
      <c r="O21" s="281">
        <v>1</v>
      </c>
      <c r="P21" s="281">
        <v>1</v>
      </c>
      <c r="Q21" s="281">
        <v>0</v>
      </c>
      <c r="R21" s="283"/>
      <c r="S21" s="281">
        <v>2</v>
      </c>
      <c r="T21" s="281">
        <v>1</v>
      </c>
      <c r="U21" s="281">
        <v>1</v>
      </c>
      <c r="V21" s="1071">
        <f t="shared" si="3"/>
        <v>21</v>
      </c>
      <c r="W21" s="285">
        <v>4</v>
      </c>
      <c r="X21" s="286">
        <f t="shared" si="1"/>
        <v>8</v>
      </c>
      <c r="Y21" s="287">
        <f t="shared" si="2"/>
        <v>5</v>
      </c>
    </row>
    <row r="22" spans="1:25" s="880" customFormat="1" x14ac:dyDescent="0.2">
      <c r="A22" s="1065">
        <v>16</v>
      </c>
      <c r="B22" s="282" t="s">
        <v>81</v>
      </c>
      <c r="C22" s="1247">
        <v>16</v>
      </c>
      <c r="D22" s="284">
        <v>0</v>
      </c>
      <c r="E22" s="281">
        <v>2</v>
      </c>
      <c r="F22" s="281">
        <v>2</v>
      </c>
      <c r="G22" s="281">
        <v>0</v>
      </c>
      <c r="H22" s="281">
        <v>0</v>
      </c>
      <c r="I22" s="281">
        <v>1</v>
      </c>
      <c r="J22" s="281">
        <v>2</v>
      </c>
      <c r="K22" s="281">
        <v>2</v>
      </c>
      <c r="L22" s="281">
        <v>2</v>
      </c>
      <c r="M22" s="281">
        <v>2</v>
      </c>
      <c r="N22" s="281">
        <v>2</v>
      </c>
      <c r="O22" s="281">
        <v>0</v>
      </c>
      <c r="P22" s="281">
        <v>0</v>
      </c>
      <c r="Q22" s="281">
        <v>2</v>
      </c>
      <c r="R22" s="281">
        <v>0</v>
      </c>
      <c r="S22" s="283"/>
      <c r="T22" s="281">
        <v>2</v>
      </c>
      <c r="U22" s="281">
        <v>2</v>
      </c>
      <c r="V22" s="1071">
        <f t="shared" si="3"/>
        <v>21</v>
      </c>
      <c r="W22" s="285">
        <v>5</v>
      </c>
      <c r="X22" s="286">
        <f t="shared" si="1"/>
        <v>10</v>
      </c>
      <c r="Y22" s="287">
        <f t="shared" si="2"/>
        <v>1</v>
      </c>
    </row>
    <row r="23" spans="1:25" s="880" customFormat="1" x14ac:dyDescent="0.2">
      <c r="A23" s="1065">
        <v>17</v>
      </c>
      <c r="B23" s="932" t="s">
        <v>349</v>
      </c>
      <c r="C23" s="1247">
        <v>17</v>
      </c>
      <c r="D23" s="284">
        <v>2</v>
      </c>
      <c r="E23" s="281">
        <v>1</v>
      </c>
      <c r="F23" s="281">
        <v>1</v>
      </c>
      <c r="G23" s="281">
        <v>1</v>
      </c>
      <c r="H23" s="281">
        <v>2</v>
      </c>
      <c r="I23" s="281">
        <v>0</v>
      </c>
      <c r="J23" s="281">
        <v>2</v>
      </c>
      <c r="K23" s="281">
        <v>1</v>
      </c>
      <c r="L23" s="281">
        <v>0</v>
      </c>
      <c r="M23" s="281">
        <v>2</v>
      </c>
      <c r="N23" s="281">
        <v>0</v>
      </c>
      <c r="O23" s="281">
        <v>1</v>
      </c>
      <c r="P23" s="281">
        <v>2</v>
      </c>
      <c r="Q23" s="281">
        <v>2</v>
      </c>
      <c r="R23" s="281">
        <v>1</v>
      </c>
      <c r="S23" s="281">
        <v>0</v>
      </c>
      <c r="T23" s="283"/>
      <c r="U23" s="281">
        <v>0</v>
      </c>
      <c r="V23" s="260">
        <f t="shared" si="3"/>
        <v>18</v>
      </c>
      <c r="W23" s="285">
        <f>RANK(V23,V$7:V$24,0)</f>
        <v>10</v>
      </c>
      <c r="X23" s="286">
        <f t="shared" si="1"/>
        <v>6</v>
      </c>
      <c r="Y23" s="287">
        <f t="shared" si="2"/>
        <v>6</v>
      </c>
    </row>
    <row r="24" spans="1:25" s="880" customFormat="1" x14ac:dyDescent="0.2">
      <c r="A24" s="1065">
        <v>18</v>
      </c>
      <c r="B24" s="932" t="s">
        <v>350</v>
      </c>
      <c r="C24" s="1247">
        <v>18</v>
      </c>
      <c r="D24" s="284">
        <v>1</v>
      </c>
      <c r="E24" s="281">
        <v>1</v>
      </c>
      <c r="F24" s="281">
        <v>0</v>
      </c>
      <c r="G24" s="281">
        <v>0</v>
      </c>
      <c r="H24" s="281">
        <v>2</v>
      </c>
      <c r="I24" s="281">
        <v>1</v>
      </c>
      <c r="J24" s="281">
        <v>2</v>
      </c>
      <c r="K24" s="281">
        <v>2</v>
      </c>
      <c r="L24" s="281">
        <v>0</v>
      </c>
      <c r="M24" s="281">
        <v>2</v>
      </c>
      <c r="N24" s="281">
        <v>2</v>
      </c>
      <c r="O24" s="281">
        <v>0</v>
      </c>
      <c r="P24" s="281">
        <v>1</v>
      </c>
      <c r="Q24" s="281">
        <v>1</v>
      </c>
      <c r="R24" s="281">
        <v>1</v>
      </c>
      <c r="S24" s="281">
        <v>0</v>
      </c>
      <c r="T24" s="281">
        <v>2</v>
      </c>
      <c r="U24" s="283"/>
      <c r="V24" s="260">
        <f t="shared" si="3"/>
        <v>18</v>
      </c>
      <c r="W24" s="285">
        <f>RANK(V24,V$7:V$24,0)</f>
        <v>10</v>
      </c>
      <c r="X24" s="286">
        <f t="shared" si="1"/>
        <v>6</v>
      </c>
      <c r="Y24" s="287">
        <f t="shared" si="2"/>
        <v>6</v>
      </c>
    </row>
    <row r="25" spans="1:25" s="1136" customFormat="1" x14ac:dyDescent="0.2">
      <c r="A25" s="281" t="s">
        <v>603</v>
      </c>
      <c r="B25" s="41" t="s">
        <v>38</v>
      </c>
      <c r="C25" s="41" t="s">
        <v>603</v>
      </c>
      <c r="D25" s="41">
        <v>1</v>
      </c>
      <c r="E25" s="41">
        <v>2</v>
      </c>
      <c r="F25" s="41">
        <v>3</v>
      </c>
      <c r="G25" s="41">
        <v>4</v>
      </c>
      <c r="H25" s="41">
        <v>5</v>
      </c>
      <c r="I25" s="41">
        <v>6</v>
      </c>
      <c r="J25" s="41">
        <v>7</v>
      </c>
      <c r="K25" s="41">
        <v>8</v>
      </c>
      <c r="L25" s="41">
        <v>9</v>
      </c>
      <c r="M25" s="41">
        <v>10</v>
      </c>
      <c r="N25" s="41">
        <v>11</v>
      </c>
      <c r="O25" s="41">
        <v>12</v>
      </c>
      <c r="P25" s="41">
        <v>13</v>
      </c>
      <c r="Q25" s="41">
        <v>14</v>
      </c>
      <c r="R25" s="41">
        <v>15</v>
      </c>
      <c r="S25" s="41">
        <v>16</v>
      </c>
      <c r="T25" s="41">
        <v>17</v>
      </c>
      <c r="U25" s="41">
        <v>18</v>
      </c>
      <c r="V25" s="41" t="s">
        <v>99</v>
      </c>
      <c r="W25" s="41" t="s">
        <v>86</v>
      </c>
      <c r="X25" s="287" t="s">
        <v>35</v>
      </c>
      <c r="Y25" s="287" t="s">
        <v>100</v>
      </c>
    </row>
    <row r="26" spans="1:25" s="880" customFormat="1" x14ac:dyDescent="0.2">
      <c r="A26" s="287">
        <f>COUNTA(A7:A24)</f>
        <v>18</v>
      </c>
      <c r="B26" s="287"/>
      <c r="C26" s="286"/>
      <c r="V26" s="234"/>
    </row>
    <row r="27" spans="1:25" x14ac:dyDescent="0.2">
      <c r="V27" s="234"/>
    </row>
    <row r="28" spans="1:25" x14ac:dyDescent="0.2">
      <c r="B28" s="1065"/>
      <c r="C28" s="1077"/>
      <c r="D28" s="1078">
        <v>13</v>
      </c>
      <c r="E28" s="1078">
        <v>15</v>
      </c>
      <c r="F28" s="1078">
        <v>16</v>
      </c>
      <c r="G28" s="880"/>
      <c r="H28" s="880"/>
      <c r="I28" s="880"/>
      <c r="J28" s="880"/>
      <c r="K28" s="880"/>
      <c r="L28" s="880"/>
      <c r="M28" s="880"/>
      <c r="V28" s="234"/>
    </row>
    <row r="29" spans="1:25" x14ac:dyDescent="0.2">
      <c r="B29" s="1067" t="s">
        <v>54</v>
      </c>
      <c r="C29" s="1078">
        <v>13</v>
      </c>
      <c r="D29" s="1068"/>
      <c r="E29" s="1069">
        <v>1</v>
      </c>
      <c r="F29" s="1069">
        <v>2</v>
      </c>
      <c r="G29" s="1066"/>
      <c r="H29" s="1070" t="s">
        <v>601</v>
      </c>
      <c r="I29" s="1066"/>
      <c r="J29" s="1066"/>
      <c r="K29" s="1066"/>
      <c r="L29" s="945" t="s">
        <v>337</v>
      </c>
      <c r="V29" s="234"/>
    </row>
    <row r="30" spans="1:25" x14ac:dyDescent="0.2">
      <c r="B30" s="1067" t="s">
        <v>45</v>
      </c>
      <c r="C30" s="1078">
        <v>15</v>
      </c>
      <c r="D30" s="1069">
        <v>1</v>
      </c>
      <c r="E30" s="1068"/>
      <c r="F30" s="1069">
        <v>2</v>
      </c>
      <c r="G30" s="1066"/>
      <c r="H30" s="1070" t="s">
        <v>602</v>
      </c>
      <c r="I30" s="1066"/>
      <c r="J30" s="1066"/>
      <c r="K30" s="1066"/>
      <c r="L30" s="945" t="s">
        <v>151</v>
      </c>
      <c r="V30" s="234"/>
    </row>
    <row r="31" spans="1:25" x14ac:dyDescent="0.2">
      <c r="B31" s="1067" t="s">
        <v>81</v>
      </c>
      <c r="C31" s="1078">
        <v>16</v>
      </c>
      <c r="D31" s="1069">
        <v>0</v>
      </c>
      <c r="E31" s="1069">
        <v>0</v>
      </c>
      <c r="F31" s="1068"/>
      <c r="G31" s="1066"/>
      <c r="H31" s="1070"/>
      <c r="I31" s="1066"/>
      <c r="J31" s="1066"/>
      <c r="K31" s="1066"/>
      <c r="L31" s="945" t="s">
        <v>152</v>
      </c>
      <c r="V31" s="289"/>
    </row>
    <row r="32" spans="1:25" x14ac:dyDescent="0.2">
      <c r="V32" s="289"/>
    </row>
    <row r="34" spans="1:3" x14ac:dyDescent="0.2">
      <c r="A34" s="1035">
        <v>1</v>
      </c>
      <c r="B34" s="1075" t="s">
        <v>46</v>
      </c>
      <c r="C34" s="90"/>
    </row>
    <row r="35" spans="1:3" x14ac:dyDescent="0.2">
      <c r="A35" s="1035">
        <v>2</v>
      </c>
      <c r="B35" s="1076" t="s">
        <v>49</v>
      </c>
      <c r="C35" s="1053"/>
    </row>
    <row r="36" spans="1:3" x14ac:dyDescent="0.2">
      <c r="A36" s="1035">
        <v>3</v>
      </c>
      <c r="B36" s="44" t="s">
        <v>54</v>
      </c>
      <c r="C36" s="1053"/>
    </row>
    <row r="37" spans="1:3" x14ac:dyDescent="0.2">
      <c r="A37" s="1035">
        <v>4</v>
      </c>
      <c r="B37" s="1035" t="s">
        <v>45</v>
      </c>
      <c r="C37" s="1053"/>
    </row>
    <row r="38" spans="1:3" x14ac:dyDescent="0.2">
      <c r="A38" s="1035">
        <v>5</v>
      </c>
      <c r="B38" s="1035" t="s">
        <v>81</v>
      </c>
      <c r="C38" s="1053"/>
    </row>
    <row r="39" spans="1:3" x14ac:dyDescent="0.2">
      <c r="A39" s="1035">
        <v>6</v>
      </c>
      <c r="B39" s="1035" t="s">
        <v>346</v>
      </c>
      <c r="C39" s="1053"/>
    </row>
    <row r="40" spans="1:3" x14ac:dyDescent="0.2">
      <c r="A40" s="1035">
        <v>7</v>
      </c>
      <c r="B40" s="1035" t="s">
        <v>44</v>
      </c>
      <c r="C40" s="1053"/>
    </row>
    <row r="41" spans="1:3" x14ac:dyDescent="0.2">
      <c r="A41" s="1035">
        <v>7</v>
      </c>
      <c r="B41" s="1035" t="s">
        <v>48</v>
      </c>
      <c r="C41" s="1053"/>
    </row>
    <row r="42" spans="1:3" x14ac:dyDescent="0.2">
      <c r="A42" s="1035">
        <v>7</v>
      </c>
      <c r="B42" s="1035" t="s">
        <v>344</v>
      </c>
      <c r="C42" s="1053"/>
    </row>
    <row r="43" spans="1:3" x14ac:dyDescent="0.2">
      <c r="A43" s="1035">
        <v>10</v>
      </c>
      <c r="B43" s="1035" t="s">
        <v>349</v>
      </c>
      <c r="C43" s="1053"/>
    </row>
    <row r="44" spans="1:3" x14ac:dyDescent="0.2">
      <c r="A44" s="1035">
        <v>10</v>
      </c>
      <c r="B44" s="1035" t="s">
        <v>350</v>
      </c>
      <c r="C44" s="1053"/>
    </row>
    <row r="45" spans="1:3" x14ac:dyDescent="0.2">
      <c r="A45" s="1035">
        <v>12</v>
      </c>
      <c r="B45" s="1035" t="s">
        <v>47</v>
      </c>
      <c r="C45" s="1053"/>
    </row>
    <row r="46" spans="1:3" x14ac:dyDescent="0.2">
      <c r="A46" s="1035">
        <v>13</v>
      </c>
      <c r="B46" s="1035" t="s">
        <v>351</v>
      </c>
      <c r="C46" s="1053"/>
    </row>
    <row r="47" spans="1:3" x14ac:dyDescent="0.2">
      <c r="A47" s="1035">
        <v>13</v>
      </c>
      <c r="B47" s="1035" t="s">
        <v>57</v>
      </c>
      <c r="C47" s="1053"/>
    </row>
    <row r="48" spans="1:3" x14ac:dyDescent="0.2">
      <c r="A48" s="1035">
        <v>15</v>
      </c>
      <c r="B48" s="1035" t="s">
        <v>347</v>
      </c>
      <c r="C48" s="1053"/>
    </row>
    <row r="49" spans="1:3" x14ac:dyDescent="0.2">
      <c r="A49" s="1035">
        <v>16</v>
      </c>
      <c r="B49" s="1035" t="s">
        <v>345</v>
      </c>
      <c r="C49" s="1053"/>
    </row>
    <row r="50" spans="1:3" x14ac:dyDescent="0.2">
      <c r="A50" s="1035">
        <v>17</v>
      </c>
      <c r="B50" s="1035" t="s">
        <v>343</v>
      </c>
      <c r="C50" s="1053"/>
    </row>
    <row r="51" spans="1:3" x14ac:dyDescent="0.2">
      <c r="A51" s="1035">
        <v>18</v>
      </c>
      <c r="B51" s="1035" t="s">
        <v>67</v>
      </c>
      <c r="C51" s="1053"/>
    </row>
  </sheetData>
  <conditionalFormatting sqref="D7:U24">
    <cfRule type="cellIs" dxfId="4" priority="3" stopIfTrue="1" operator="greaterThan">
      <formula>2</formula>
    </cfRule>
  </conditionalFormatting>
  <conditionalFormatting sqref="B23:B24">
    <cfRule type="duplicateValues" dxfId="3" priority="2" stopIfTrue="1"/>
  </conditionalFormatting>
  <conditionalFormatting sqref="X7:X24">
    <cfRule type="top10" dxfId="2" priority="149" stopIfTrue="1" rank="1"/>
  </conditionalFormatting>
  <pageMargins left="0.39370078740157483" right="0.39370078740157483" top="0.78740157480314965" bottom="0.39370078740157483" header="0.59055118110236227" footer="0"/>
  <pageSetup paperSize="9" fitToHeight="0" orientation="portrait" r:id="rId1"/>
  <ignoredErrors>
    <ignoredError sqref="W19:Y20 W8:Y18 W7:Y7 V7:V18 W23:Y24 X21:Y21 X22:Y22 V19:V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41</vt:i4>
      </vt:variant>
    </vt:vector>
  </HeadingPairs>
  <TitlesOfParts>
    <vt:vector size="80" baseType="lpstr">
      <vt:lpstr>Kalend</vt:lpstr>
      <vt:lpstr>Kal E</vt:lpstr>
      <vt:lpstr>Reit</vt:lpstr>
      <vt:lpstr>A</vt:lpstr>
      <vt:lpstr>1</vt:lpstr>
      <vt:lpstr>2</vt:lpstr>
      <vt:lpstr>3</vt:lpstr>
      <vt:lpstr>KJ</vt:lpstr>
      <vt:lpstr>4</vt:lpstr>
      <vt:lpstr>5</vt:lpstr>
      <vt:lpstr>Mu</vt:lpstr>
      <vt:lpstr>6</vt:lpstr>
      <vt:lpstr>7</vt:lpstr>
      <vt:lpstr>8</vt:lpstr>
      <vt:lpstr>9</vt:lpstr>
      <vt:lpstr>10</vt:lpstr>
      <vt:lpstr>11</vt:lpstr>
      <vt:lpstr>12</vt:lpstr>
      <vt:lpstr>13</vt:lpstr>
      <vt:lpstr>L</vt:lpstr>
      <vt:lpstr>M</vt:lpstr>
      <vt:lpstr>M1</vt:lpstr>
      <vt:lpstr>M2</vt:lpstr>
      <vt:lpstr>M3</vt:lpstr>
      <vt:lpstr>M4</vt:lpstr>
      <vt:lpstr>M5</vt:lpstr>
      <vt:lpstr>V</vt:lpstr>
      <vt:lpstr>V1</vt:lpstr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V-Fin</vt:lpstr>
      <vt:lpstr>V-Pl</vt:lpstr>
      <vt:lpstr>Mu!Print_Area</vt:lpstr>
      <vt:lpstr>'V-Fin'!Print_Area</vt:lpstr>
      <vt:lpstr>'V-Pl'!Print_Area</vt:lpstr>
      <vt:lpstr>'1'!Print_Titles</vt:lpstr>
      <vt:lpstr>'10'!Print_Titles</vt:lpstr>
      <vt:lpstr>'11'!Print_Titles</vt:lpstr>
      <vt:lpstr>'12'!Print_Titles</vt:lpstr>
      <vt:lpstr>'13'!Print_Titles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A!Print_Titles</vt:lpstr>
      <vt:lpstr>'Kal E'!Print_Titles</vt:lpstr>
      <vt:lpstr>KJ!Print_Titles</vt:lpstr>
      <vt:lpstr>L!Print_Titles</vt:lpstr>
      <vt:lpstr>M!Print_Titles</vt:lpstr>
      <vt:lpstr>'M1'!Print_Titles</vt:lpstr>
      <vt:lpstr>'M2'!Print_Titles</vt:lpstr>
      <vt:lpstr>'M3'!Print_Titles</vt:lpstr>
      <vt:lpstr>'M4'!Print_Titles</vt:lpstr>
      <vt:lpstr>'M5'!Print_Titles</vt:lpstr>
      <vt:lpstr>Mu!Print_Titles</vt:lpstr>
      <vt:lpstr>Reit!Print_Titles</vt:lpstr>
      <vt:lpstr>V!Print_Titles</vt:lpstr>
      <vt:lpstr>'V1'!Print_Titles</vt:lpstr>
      <vt:lpstr>'V10'!Print_Titles</vt:lpstr>
      <vt:lpstr>'V2'!Print_Titles</vt:lpstr>
      <vt:lpstr>'V3'!Print_Titles</vt:lpstr>
      <vt:lpstr>'V4'!Print_Titles</vt:lpstr>
      <vt:lpstr>'V5'!Print_Titles</vt:lpstr>
      <vt:lpstr>'V6'!Print_Titles</vt:lpstr>
      <vt:lpstr>'V7'!Print_Titles</vt:lpstr>
      <vt:lpstr>'V8'!Print_Titles</vt:lpstr>
      <vt:lpstr>'V9'!Print_Titles</vt:lpstr>
      <vt:lpstr>'V-Fin'!Print_Titles</vt:lpstr>
      <vt:lpstr>'V-Pl'!Print_Titles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2015-12-04T11:17:37Z</dcterms:created>
  <dcterms:modified xsi:type="dcterms:W3CDTF">2023-01-08T15:48:49Z</dcterms:modified>
</cp:coreProperties>
</file>